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7. OBA DÍJFIZETÉS\Díjbevallás\2018 díj\Díjbevallás előkészítése\"/>
    </mc:Choice>
  </mc:AlternateContent>
  <bookViews>
    <workbookView xWindow="0" yWindow="0" windowWidth="28800" windowHeight="12000"/>
  </bookViews>
  <sheets>
    <sheet name="Munka1" sheetId="1" r:id="rId1"/>
  </sheets>
  <definedNames>
    <definedName name="_xlnm.Print_Area" localSheetId="0">Munka1!$A$1:$O$45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N45" i="1" l="1"/>
  <c r="M45" i="1"/>
  <c r="L45" i="1"/>
  <c r="K45" i="1"/>
  <c r="J45" i="1"/>
  <c r="I45" i="1"/>
  <c r="H45" i="1"/>
  <c r="G45" i="1"/>
  <c r="F45" i="1"/>
  <c r="E45" i="1"/>
  <c r="O43" i="1"/>
  <c r="O42" i="1"/>
  <c r="O40" i="1"/>
  <c r="P43" i="1" l="1"/>
  <c r="P42" i="1"/>
  <c r="P40" i="1"/>
  <c r="P39" i="1"/>
  <c r="P37" i="1"/>
  <c r="T21" i="1"/>
  <c r="M21" i="1" s="1"/>
  <c r="S21" i="1"/>
  <c r="L21" i="1" s="1"/>
  <c r="T13" i="1"/>
  <c r="S13" i="1"/>
  <c r="X21" i="1"/>
  <c r="O21" i="1" s="1"/>
  <c r="W21" i="1"/>
  <c r="N21" i="1" s="1"/>
  <c r="X13" i="1"/>
  <c r="W13" i="1"/>
  <c r="N13" i="1" s="1"/>
  <c r="X9" i="1"/>
  <c r="O9" i="1" s="1"/>
  <c r="W9" i="1"/>
  <c r="N9" i="1" s="1"/>
  <c r="T9" i="1"/>
  <c r="M9" i="1" s="1"/>
  <c r="S9" i="1"/>
  <c r="L9" i="1" s="1"/>
  <c r="R21" i="1"/>
  <c r="K21" i="1" s="1"/>
  <c r="R13" i="1"/>
  <c r="K13" i="1" s="1"/>
  <c r="R9" i="1"/>
  <c r="O13" i="1"/>
  <c r="M13" i="1"/>
  <c r="L13" i="1"/>
  <c r="H13" i="1"/>
  <c r="C9" i="1"/>
  <c r="K9" i="1" l="1"/>
  <c r="P21" i="1"/>
  <c r="P18" i="1"/>
  <c r="P8" i="1"/>
  <c r="D41" i="1" l="1"/>
  <c r="D45" i="1" s="1"/>
  <c r="D38" i="1"/>
  <c r="Q19" i="1" l="1"/>
  <c r="Q20" i="1"/>
  <c r="Q17" i="1"/>
  <c r="Q18" i="1"/>
  <c r="P20" i="1"/>
  <c r="P19" i="1"/>
  <c r="E41" i="1" l="1"/>
  <c r="E38" i="1"/>
  <c r="M41" i="1"/>
  <c r="N41" i="1"/>
  <c r="M38" i="1"/>
  <c r="N38" i="1"/>
  <c r="Q7" i="1" l="1"/>
  <c r="Q8" i="1"/>
  <c r="Q10" i="1"/>
  <c r="Q11" i="1"/>
  <c r="Q12" i="1"/>
  <c r="Q14" i="1"/>
  <c r="Q15" i="1"/>
  <c r="Q16" i="1"/>
  <c r="J19" i="1"/>
  <c r="Q6" i="1"/>
  <c r="F22" i="1"/>
  <c r="P22" i="1" s="1"/>
  <c r="C41" i="1" l="1"/>
  <c r="J41" i="1"/>
  <c r="C45" i="1" l="1"/>
  <c r="I35" i="1"/>
  <c r="P29" i="1" s="1"/>
  <c r="I31" i="1" s="1"/>
  <c r="L41" i="1"/>
  <c r="K41" i="1"/>
  <c r="I41" i="1"/>
  <c r="H41" i="1"/>
  <c r="G41" i="1"/>
  <c r="F41" i="1"/>
  <c r="L38" i="1"/>
  <c r="K38" i="1"/>
  <c r="J38" i="1"/>
  <c r="I38" i="1"/>
  <c r="H38" i="1"/>
  <c r="G38" i="1"/>
  <c r="F38" i="1"/>
  <c r="C38" i="1"/>
  <c r="F25" i="1"/>
  <c r="F24" i="1"/>
  <c r="G23" i="1"/>
  <c r="I21" i="1"/>
  <c r="H21" i="1"/>
  <c r="E21" i="1"/>
  <c r="D21" i="1"/>
  <c r="C21" i="1"/>
  <c r="J20" i="1"/>
  <c r="F18" i="1"/>
  <c r="F17" i="1"/>
  <c r="P17" i="1" s="1"/>
  <c r="F16" i="1"/>
  <c r="F15" i="1"/>
  <c r="P15" i="1" s="1"/>
  <c r="F14" i="1"/>
  <c r="I13" i="1"/>
  <c r="E13" i="1"/>
  <c r="D13" i="1"/>
  <c r="C13" i="1"/>
  <c r="F12" i="1"/>
  <c r="F11" i="1"/>
  <c r="F10" i="1"/>
  <c r="I9" i="1"/>
  <c r="H9" i="1"/>
  <c r="E9" i="1"/>
  <c r="D9" i="1"/>
  <c r="F8" i="1"/>
  <c r="J8" i="1" s="1"/>
  <c r="F7" i="1"/>
  <c r="F6" i="1"/>
  <c r="O38" i="1" l="1"/>
  <c r="P41" i="1"/>
  <c r="P38" i="1"/>
  <c r="P13" i="1"/>
  <c r="P9" i="1"/>
  <c r="R23" i="1"/>
  <c r="H23" i="1"/>
  <c r="F9" i="1"/>
  <c r="J9" i="1" s="1"/>
  <c r="P6" i="1"/>
  <c r="J6" i="1" s="1"/>
  <c r="P14" i="1"/>
  <c r="J14" i="1" s="1"/>
  <c r="J17" i="1"/>
  <c r="P7" i="1"/>
  <c r="J7" i="1" s="1"/>
  <c r="J18" i="1"/>
  <c r="J15" i="1"/>
  <c r="P16" i="1"/>
  <c r="J16" i="1" s="1"/>
  <c r="I23" i="1"/>
  <c r="P12" i="1"/>
  <c r="J12" i="1" s="1"/>
  <c r="D23" i="1"/>
  <c r="P11" i="1"/>
  <c r="J11" i="1" s="1"/>
  <c r="F13" i="1"/>
  <c r="J13" i="1" s="1"/>
  <c r="P10" i="1"/>
  <c r="J10" i="1" s="1"/>
  <c r="F21" i="1"/>
  <c r="J21" i="1" s="1"/>
  <c r="J22" i="1"/>
  <c r="C23" i="1"/>
  <c r="E23" i="1"/>
  <c r="Q23" i="1" s="1"/>
  <c r="J24" i="1" l="1"/>
  <c r="F23" i="1"/>
  <c r="O41" i="1" s="1"/>
  <c r="J25" i="1"/>
  <c r="P23" i="1" l="1"/>
  <c r="J23" i="1" s="1"/>
  <c r="I34" i="1"/>
  <c r="I33" i="1" s="1"/>
</calcChain>
</file>

<file path=xl/comments1.xml><?xml version="1.0" encoding="utf-8"?>
<comments xmlns="http://schemas.openxmlformats.org/spreadsheetml/2006/main">
  <authors>
    <author>Deák Anita</author>
    <author>Egy elégedett Microsoft Office felhasználó</author>
    <author>Marx László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Deák Anita:</t>
        </r>
        <r>
          <rPr>
            <sz val="9"/>
            <color indexed="81"/>
            <rFont val="Tahoma"/>
            <family val="2"/>
            <charset val="238"/>
          </rPr>
          <t xml:space="preserve">
Ezeket lehet úgy kialakítani, hogy belépés után automatikusan töltődjön ki?</t>
        </r>
      </text>
    </comment>
    <comment ref="D5" authorId="0" shapeId="0">
      <text>
        <r>
          <rPr>
            <sz val="9"/>
            <color indexed="81"/>
            <rFont val="Tahoma"/>
            <family val="2"/>
            <charset val="238"/>
          </rPr>
          <t>(P)-ből biztosított 
a 2013. évi CCXXXVII. tv. 212.§ (1), (2), (3) szerint</t>
        </r>
      </text>
    </comment>
    <comment ref="E5" authorId="0" shapeId="0">
      <text>
        <r>
          <rPr>
            <sz val="9"/>
            <color indexed="81"/>
            <rFont val="Tahoma"/>
            <family val="2"/>
            <charset val="238"/>
          </rPr>
          <t>Biztosított állományt csökkentő betétesek betétei 
Hpt. 213.§ (1), (2) szerint</t>
        </r>
      </text>
    </comment>
    <comment ref="F5" authorId="0" shapeId="0">
      <text>
        <r>
          <rPr>
            <sz val="9"/>
            <color indexed="81"/>
            <rFont val="Tahoma"/>
            <family val="2"/>
            <charset val="238"/>
          </rPr>
          <t>Biztosított teljes állomány (az értékhatár feletti betétek összegével)</t>
        </r>
      </text>
    </comment>
    <comment ref="G5" authorId="0" shapeId="0">
      <text>
        <r>
          <rPr>
            <sz val="10"/>
            <color indexed="81"/>
            <rFont val="Tahoma"/>
            <family val="2"/>
            <charset val="238"/>
          </rPr>
          <t>Betét/számla darabszáma
Csak a biztosított állományhoz tartozó darabszámot írja be!</t>
        </r>
      </text>
    </comment>
    <comment ref="H5" authorId="0" shapeId="0">
      <text>
        <r>
          <rPr>
            <sz val="9"/>
            <color indexed="81"/>
            <rFont val="Tahoma"/>
            <family val="2"/>
            <charset val="238"/>
          </rPr>
          <t>Állami szavatosággal védett állomány</t>
        </r>
      </text>
    </comment>
    <comment ref="I5" authorId="0" shapeId="0">
      <text>
        <r>
          <rPr>
            <sz val="9"/>
            <color indexed="81"/>
            <rFont val="Tahoma"/>
            <family val="2"/>
            <charset val="238"/>
          </rPr>
          <t>Sem állami, sem OBA biztosítással nem védett állomány</t>
        </r>
      </text>
    </comment>
    <comment ref="C18" authorId="1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Ide nem szabad beírni a B 14, 15, 16 és 17 cellák összegeit.</t>
        </r>
      </text>
    </comment>
    <comment ref="B24" authorId="2" shapeId="0">
      <text>
        <r>
          <rPr>
            <sz val="9"/>
            <color indexed="81"/>
            <rFont val="Tahoma"/>
            <family val="2"/>
            <charset val="238"/>
          </rPr>
          <t xml:space="preserve">Ezer Ft-ban, 2017. december 31-én érvényes árfolyamon átszámítva, felhalmozott kamatokkal együtt.
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>Ezer Ft-ban, 2017. december 31-én érvényes árfolyamon átszámítva, felhalmozott kamatokkal együtt.</t>
        </r>
      </text>
    </comment>
    <comment ref="B26" authorId="0" shapeId="0">
      <text>
        <r>
          <rPr>
            <b/>
            <sz val="9"/>
            <color indexed="81"/>
            <rFont val="Segoe UI"/>
            <charset val="1"/>
          </rPr>
          <t>Deák Anita:</t>
        </r>
        <r>
          <rPr>
            <sz val="9"/>
            <color indexed="81"/>
            <rFont val="Segoe UI"/>
            <charset val="1"/>
          </rPr>
          <t xml:space="preserve">
Hozzájárulási arány</t>
        </r>
      </text>
    </comment>
    <comment ref="I29" authorId="0" shapeId="0">
      <text>
        <r>
          <rPr>
            <sz val="9"/>
            <color indexed="81"/>
            <rFont val="Tahoma"/>
            <charset val="1"/>
          </rPr>
          <t>Figyelem! Mivel a tagintézeti ARW egyedileg kerül megállapításra, ezt a mezőt a Díjfizetési Szabályzatban található képlet alapján kiszámított érétknek megfelelően a tagintézet maga töltse ki (75, 100, 125, 150 értékkel)</t>
        </r>
      </text>
    </comment>
    <comment ref="I30" authorId="0" shapeId="0">
      <text>
        <r>
          <rPr>
            <sz val="9"/>
            <color indexed="81"/>
            <rFont val="Tahoma"/>
            <family val="2"/>
            <charset val="238"/>
          </rPr>
          <t>Figyelem! Ebbe a cellába az SZHISZ tagintézetek az SZHISZ-nek 2018-ra befizetendő éves díjat írják be. A nem SZHISZ tagintézetek a mezőt nulla értékkel töltsék ki.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>Éves díjfizetés = Alapdíj + Változó díj 
Alapdíj = Kártalanítási kötelezettség * alapdíj arány * díjkulcs
Változó díj = Kártalanítási kötelezettség * díjkulcs * korrekciós együttható * ARW *(1- alapdíj arány)</t>
        </r>
      </text>
    </comment>
    <comment ref="B32" authorId="0" shapeId="0">
      <text>
        <r>
          <rPr>
            <sz val="9"/>
            <color indexed="81"/>
            <rFont val="Tahoma"/>
            <family val="2"/>
            <charset val="238"/>
          </rPr>
          <t>Megegyezik az előző évi díjbevallás IV. negyedévének kétszeres szorzatával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
(H)/2 - (I) + (K)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(H)/4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38"/>
          </rPr>
          <t>(M)(T)1+(M)(T)2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Jelen adatszolgáltatásban:
Egyszeres, illetve több kártalanítási jogcímre jogosult (öröklés, egyesülés, elkülönült betét miatt) betétesek, ha a teljes, a kártalanításra jogosító betétállományuk 0 -  31 014 000 Ft közé esik, ezer forintban megadva (a kártalanításra nem jogosító  betétállományt a (T)3 mezőben kell kimutatni), ezer forintban megadva.
A összeg/darabszám hányados
a 0 - 31 014 közötti tartományban lehet</t>
        </r>
      </text>
    </comment>
    <comment ref="D37" authorId="0" shapeId="0">
      <text>
        <r>
          <rPr>
            <b/>
            <sz val="9"/>
            <color indexed="81"/>
            <rFont val="Tahoma"/>
            <charset val="1"/>
          </rPr>
          <t>Jelen adatszolgáltatásban:
Több kártalanítási jogcímre jogosult (öröklés, egyesülés, elkülönült betét miatt) betétesek, ha a kártalanításra jogosító betétállományuk meghaladja a 31 014 000 Ft-ot, a kártalanítási értékhatárt meg nem haladó betét(rész)ek állománya (a kártalanításra nem jogosító  betétállományt a (T)3 mezőben kell kimutatni), ezer forintban megadva.
Összeg/darabszám hányados
a 31 014 feletti tartományban lehet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Jelen adatszolgáltatásban:
Kártalanításra nem jogosító betét(rész)ek összege ezer forintban megadva, függetlenül a kártalanítási jogcímek számától.</t>
        </r>
      </text>
    </comment>
    <comment ref="F37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A összeg/darabszám hányados
 0 - 1 között kell legyen
</t>
        </r>
      </text>
    </comment>
    <comment ref="G37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A összeg/darabszám hányados
1 - 100 között kell legyen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A összeg/darabszám hányados
100 - 1000 között kell legyen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7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A összeg/darabszám hányados
1000 - 2000 között kell legyen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A összeg/darabszám hányados
2000 - 5000 között kell legyen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7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A összeg/darabszám hányados
5000 - 15000 között kell legyen</t>
        </r>
      </text>
    </comment>
    <comment ref="L37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A Betét/darabszám hányados
15000 - 31 014 között kell legyen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  <charset val="238"/>
          </rPr>
          <t>A Betét/darabszám hányados
31 014 - 46 521 között kell legyen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  <charset val="238"/>
          </rPr>
          <t>A Betét/darabszám hányados
46 521- 62 028 között kell legyen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9" authorId="2" shapeId="0">
      <text>
        <r>
          <rPr>
            <b/>
            <sz val="9"/>
            <color indexed="81"/>
            <rFont val="Tahoma"/>
            <family val="2"/>
            <charset val="238"/>
          </rPr>
          <t>Azon természetes személyek darabszáma, akiknek a kártalanításra jogosító betétállománya legfeljebb 31 014 000 Ft, függetlenül az eltérő jogcímek számától.</t>
        </r>
      </text>
    </comment>
    <comment ref="D39" authorId="0" shapeId="0">
      <text>
        <r>
          <rPr>
            <b/>
            <sz val="9"/>
            <color indexed="81"/>
            <rFont val="Tahoma"/>
            <charset val="1"/>
          </rPr>
          <t xml:space="preserve">Azon természetes személyek darabszáma, akik többszörös kártalanítási jogcímre jogosultak </t>
        </r>
        <r>
          <rPr>
            <b/>
            <u/>
            <sz val="9"/>
            <color indexed="81"/>
            <rFont val="Tahoma"/>
            <family val="2"/>
            <charset val="238"/>
          </rPr>
          <t>ÉS</t>
        </r>
        <r>
          <rPr>
            <b/>
            <sz val="9"/>
            <color indexed="81"/>
            <rFont val="Tahoma"/>
            <charset val="1"/>
          </rPr>
          <t xml:space="preserve">  kártalanításra jogosító betétállományuk meghaladja a 100 000 eurót.</t>
        </r>
      </text>
    </comment>
    <comment ref="E39" authorId="0" shapeId="0">
      <text>
        <r>
          <rPr>
            <b/>
            <sz val="9"/>
            <color indexed="81"/>
            <rFont val="Tahoma"/>
            <charset val="1"/>
          </rPr>
          <t>Azon természetes személy típusú ügyfelek darabszáma, akik rendelkeznek kártalanításra nem jogosító betétállománnyal.</t>
        </r>
      </text>
    </comment>
    <comment ref="C40" authorId="2" shapeId="0">
      <text>
        <r>
          <rPr>
            <b/>
            <sz val="9"/>
            <color indexed="81"/>
            <rFont val="Tahoma"/>
            <family val="2"/>
            <charset val="238"/>
          </rPr>
          <t>Azon nem természetes személyek darabszáma, akiknek a kártalanításra jogosító betétállománya legfeljebb 31 014 000 Ft, függetlenül az eltérő jogcímek számától.</t>
        </r>
      </text>
    </comment>
    <comment ref="D40" authorId="0" shapeId="0">
      <text>
        <r>
          <rPr>
            <b/>
            <sz val="9"/>
            <color indexed="81"/>
            <rFont val="Tahoma"/>
            <charset val="1"/>
          </rPr>
          <t xml:space="preserve">Azon nem természetes személyek darabszáma, akik többszörös kártalanítási jogcímre jogosultak </t>
        </r>
        <r>
          <rPr>
            <b/>
            <u/>
            <sz val="9"/>
            <color indexed="81"/>
            <rFont val="Tahoma"/>
            <family val="2"/>
            <charset val="238"/>
          </rPr>
          <t>ÉS</t>
        </r>
        <r>
          <rPr>
            <b/>
            <sz val="9"/>
            <color indexed="81"/>
            <rFont val="Tahoma"/>
            <charset val="1"/>
          </rPr>
          <t xml:space="preserve">  kártalanításra jogosító betétállományuk meghaladja a 100 000 eurót.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charset val="1"/>
          </rPr>
          <t>Azon nem természetes személy típusú ügyfelek darabszáma, akik rendelkeznek kártalanításra nem jogosító betétállománnyal.</t>
        </r>
      </text>
    </comment>
    <comment ref="C42" authorId="2" shapeId="0">
      <text>
        <r>
          <rPr>
            <b/>
            <sz val="9"/>
            <color indexed="81"/>
            <rFont val="Tahoma"/>
            <family val="2"/>
            <charset val="238"/>
          </rPr>
          <t>Azon természetes személyek állománya, akiknek a kártalanításra jogosító betétállománya legfeljebb 31 014 000 Ft, függetlenül az eltérő jogcímek számától. (KBB adat ügyfél fájl ügyfélre eső összes tőke + kamat).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Azon természetes személyek kártalanítási kötelezettség alá eső betét(rész)ének államánya, akik többszörös kártalanítási jogcímre jogosultak </t>
        </r>
        <r>
          <rPr>
            <b/>
            <u/>
            <sz val="9"/>
            <color indexed="81"/>
            <rFont val="Tahoma"/>
            <family val="2"/>
            <charset val="238"/>
          </rPr>
          <t>ÉS</t>
        </r>
        <r>
          <rPr>
            <b/>
            <sz val="9"/>
            <color indexed="81"/>
            <rFont val="Tahoma"/>
            <family val="2"/>
            <charset val="238"/>
          </rPr>
          <t xml:space="preserve"> a kártalanításra jogosító betétállományuk meghaladja a 100 000 eurót.</t>
        </r>
      </text>
    </comment>
    <comment ref="E42" authorId="0" shapeId="0">
      <text>
        <r>
          <rPr>
            <b/>
            <sz val="9"/>
            <color indexed="81"/>
            <rFont val="Tahoma"/>
            <charset val="1"/>
          </rPr>
          <t>Kártalanításra nem jogosító betétállománnyal rendelkező természetes személyek kártalanítási kötelezettség fölé tartozó betétösszege (KBB adat ügyfél fájl ügyfélre eső összes tőke + kamat kártalanítási értékhatárt - figyelembe véve az esetleges többszörös kártalanítási jogcímeket - meghaladó állománya).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2" shapeId="0">
      <text>
        <r>
          <rPr>
            <b/>
            <sz val="9"/>
            <color indexed="81"/>
            <rFont val="Tahoma"/>
            <family val="2"/>
            <charset val="238"/>
          </rPr>
          <t>Azon nem természetes személyek állománya, akiknek a kártalanításra jogosító betétállománya legfeljebb 31 014 000 Ft, függetlenül az eltérő jogcímek számától.(KBB adat ügyfél fájl ügyfélre eső összes tőke + kamat)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  <charset val="238"/>
          </rPr>
          <t>Azon nem természetes személyek kártalanítási kötelezettség alá eső betét(rész)ének államánya, akik többszörös kártalanítási jogcímre jogosultak ÉS a kártalanításra jogosító betétállományuk meghaladja a 100 000 eurót.</t>
        </r>
      </text>
    </comment>
    <comment ref="E43" authorId="0" shapeId="0">
      <text>
        <r>
          <rPr>
            <b/>
            <sz val="9"/>
            <color indexed="81"/>
            <rFont val="Tahoma"/>
            <charset val="1"/>
          </rPr>
          <t>Kártalanításra nem jogosító betétállománnyal rendelkező nem természetes személyek kártalanítási kötelezettség fölé tartozó betétösszege (KBB adat ügyfél fájl ügyfélre eső összes tőke + kamat kártalanítási értékhatárt - figyelembe véve az esetleges többszörös kártalanítási jogcímeket - meghaladó állománya).</t>
        </r>
      </text>
    </comment>
  </commentList>
</comments>
</file>

<file path=xl/sharedStrings.xml><?xml version="1.0" encoding="utf-8"?>
<sst xmlns="http://schemas.openxmlformats.org/spreadsheetml/2006/main" count="84" uniqueCount="78">
  <si>
    <t>Hitelintézet OBA azonosítója:</t>
  </si>
  <si>
    <t>Kitöltés után bizalmas!</t>
  </si>
  <si>
    <t>Hitelintézet neve:</t>
  </si>
  <si>
    <r>
      <rPr>
        <b/>
        <sz val="12"/>
        <rFont val="Arial"/>
        <family val="2"/>
        <charset val="238"/>
      </rPr>
      <t>(P)</t>
    </r>
    <r>
      <rPr>
        <b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 (T) + (V) + (Z) </t>
    </r>
    <r>
      <rPr>
        <b/>
        <sz val="10"/>
        <rFont val="Arial"/>
        <family val="2"/>
        <charset val="238"/>
      </rPr>
      <t xml:space="preserve">
</t>
    </r>
  </si>
  <si>
    <t>(R)</t>
  </si>
  <si>
    <t>(S)</t>
  </si>
  <si>
    <r>
      <rPr>
        <b/>
        <sz val="12"/>
        <rFont val="Arial"/>
        <family val="2"/>
        <charset val="238"/>
      </rPr>
      <t xml:space="preserve">(T) </t>
    </r>
    <r>
      <rPr>
        <sz val="10"/>
        <rFont val="Arial"/>
        <family val="2"/>
        <charset val="238"/>
      </rPr>
      <t xml:space="preserve">
 (R) - (S)</t>
    </r>
  </si>
  <si>
    <t>(U)</t>
  </si>
  <si>
    <t>(V)</t>
  </si>
  <si>
    <t>(Z)</t>
  </si>
  <si>
    <t>(A) Takarékbetétek</t>
  </si>
  <si>
    <t>Összesen:</t>
  </si>
  <si>
    <t>(B) 
Egyéb betétek</t>
  </si>
  <si>
    <t>(C) 
Kibocsátott értékpapírok és egyéb kötelezettségek</t>
  </si>
  <si>
    <t>(D)</t>
  </si>
  <si>
    <t>(E)</t>
  </si>
  <si>
    <t>Devizában elhelyezett megtakarítások összege</t>
  </si>
  <si>
    <t>(F)</t>
  </si>
  <si>
    <t>Külföldi fióktelepnél elhelyezett összeg</t>
  </si>
  <si>
    <t>Díjkulcs (ezrelék)</t>
  </si>
  <si>
    <t>(H)</t>
  </si>
  <si>
    <t>(I)</t>
  </si>
  <si>
    <t>(J)</t>
  </si>
  <si>
    <t xml:space="preserve">Július 15-én esedékes egyenleg </t>
  </si>
  <si>
    <t>(K)</t>
  </si>
  <si>
    <t xml:space="preserve">Egy negyedévre eső díjfizetés (Október 15-én esedékes díjfizetés) </t>
  </si>
  <si>
    <r>
      <t xml:space="preserve">Besorolási osztály 
</t>
    </r>
    <r>
      <rPr>
        <sz val="10"/>
        <rFont val="Arial"/>
        <family val="2"/>
        <charset val="238"/>
      </rPr>
      <t>(összegű betétállománnyal rendelkezők)</t>
    </r>
  </si>
  <si>
    <t xml:space="preserve">(T)13 
100 001-
1 000 000 Ft </t>
  </si>
  <si>
    <t xml:space="preserve">(T)14 
1 000 001-
2 000 000 Ft </t>
  </si>
  <si>
    <t>(T)15 
2 000 001-
5 000 000 Ft</t>
  </si>
  <si>
    <t>(T)16 
5 000 001-
15 000 000 Ft</t>
  </si>
  <si>
    <t>(L)</t>
  </si>
  <si>
    <t>Biztosított ügyfelek darabszáma</t>
  </si>
  <si>
    <t>(L)1</t>
  </si>
  <si>
    <t>Ebből természetes személyek darabszáma</t>
  </si>
  <si>
    <t>(L)2</t>
  </si>
  <si>
    <t>Nem természetes személyek darabszáma</t>
  </si>
  <si>
    <t>(M)</t>
  </si>
  <si>
    <t>Az ügyfelek betéteinek összege</t>
  </si>
  <si>
    <t>(M)1</t>
  </si>
  <si>
    <t>Ebből természetes személyek betéteinek összege</t>
  </si>
  <si>
    <t>(M)2</t>
  </si>
  <si>
    <t>Nem természetes személyek betéteinek összege</t>
  </si>
  <si>
    <t>(G2)</t>
  </si>
  <si>
    <t>(G3)</t>
  </si>
  <si>
    <r>
      <t>Korrekciós együttható -</t>
    </r>
    <r>
      <rPr>
        <sz val="11"/>
        <rFont val="Calibri"/>
        <family val="2"/>
        <charset val="238"/>
      </rPr>
      <t>µ (százalék)</t>
    </r>
  </si>
  <si>
    <t>(G1)</t>
  </si>
  <si>
    <t>(G4)</t>
  </si>
  <si>
    <t>Alapdíj arány (százalék)</t>
  </si>
  <si>
    <t>(N)</t>
  </si>
  <si>
    <t>Tagintézet kockázati súlya - ARW (százalék)</t>
  </si>
  <si>
    <r>
      <rPr>
        <b/>
        <sz val="18"/>
        <rFont val="Arial"/>
        <family val="2"/>
        <charset val="238"/>
      </rPr>
      <t xml:space="preserve">2018. évi díjmegállapítás segédlet </t>
    </r>
    <r>
      <rPr>
        <b/>
        <sz val="14"/>
        <rFont val="Arial"/>
        <family val="2"/>
        <charset val="238"/>
      </rPr>
      <t xml:space="preserve">
</t>
    </r>
    <r>
      <rPr>
        <b/>
        <sz val="14"/>
        <color rgb="FFC00000"/>
        <rFont val="Arial"/>
        <family val="2"/>
        <charset val="238"/>
      </rPr>
      <t>(OBA díjbevallásra nem alkalmas!)</t>
    </r>
  </si>
  <si>
    <t>Betétfajta
Adatok a 2017. december 31-i állapotnak megfelelően 
ezer Ft-ban</t>
  </si>
  <si>
    <t>2018. évi díjfizetési kötelezettség forintban</t>
  </si>
  <si>
    <r>
      <t>2018. I. félévre fizetett</t>
    </r>
    <r>
      <rPr>
        <sz val="11"/>
        <rFont val="Calibri"/>
        <family val="2"/>
        <charset val="238"/>
      </rPr>
      <t xml:space="preserve"> kötelezettség</t>
    </r>
  </si>
  <si>
    <t>Egyéb hátrasorolt kötelezettség + alárendelt kölcsöntőke</t>
  </si>
  <si>
    <t>Éven belüli lejáratú egyéb kötelezettségek és szövetkezeti formában működő hitelintézeteknél a tagok más vagyoni hozzájárulása</t>
  </si>
  <si>
    <t xml:space="preserve">(T)11 
0-1000 Ft </t>
  </si>
  <si>
    <t xml:space="preserve">(T)12 
1001-100 000 Ft </t>
  </si>
  <si>
    <t>(T)17 
15 000 001-
31 014 000 Ft</t>
  </si>
  <si>
    <t>Tájékoztató adatok 
Adatok ezer Ft-ban a KBB adatállomány adatain alapulva</t>
  </si>
  <si>
    <t>Látra szóló és folyószámla betétek bruttó tőkeösszege</t>
  </si>
  <si>
    <t>Hosszú lejáratú lekötött betétek bruttó tőkeösszege</t>
  </si>
  <si>
    <t>Rövid lejáratú lekötött betétek bruttó tőkeösszege</t>
  </si>
  <si>
    <t>Kibocsátott kötvények bruttó tőkeösszege</t>
  </si>
  <si>
    <t>(A), (B), (C) után felhalmozott kamat</t>
  </si>
  <si>
    <t>(T)18
31 014 000- 
46 521 000 Ft</t>
  </si>
  <si>
    <t>Potenciális kártalanítási kötelezettség (ezer forintban)</t>
  </si>
  <si>
    <t>Éven belüli lejáratú számviteli szempontból értékpapírként kezelt, de a Tpt. szerint értékpapírnak nem minősülő hitelviszonyt megtestesítő okiratok</t>
  </si>
  <si>
    <t>Éven túli lejáratú, számviteli szempontból értékpapírként kezelt, de a Tpt. szerint értékpapírnak nem minősülő hitelviszonyt megtestesítő okiratok</t>
  </si>
  <si>
    <t xml:space="preserve">Éven belüli lejáratú egyéb hitelviszonyt megtestesítő értékpapírok </t>
  </si>
  <si>
    <t xml:space="preserve">Éven túli lejáratú egyéb hitelviszonyt megtestesítő értékpapírok </t>
  </si>
  <si>
    <t>(T)1 
0-100 000 euró alatti kártalanítási kötelezettséggel rendelkezők</t>
  </si>
  <si>
    <t>(T)2 
100 000 eurót meghaladó kártalanításra jogosultak kártalanítási értékhatárig eső része</t>
  </si>
  <si>
    <t>(T)3
Kártalanítási értékhatár feletti tételek</t>
  </si>
  <si>
    <t>(T)19
46 521 000 Ft feletti</t>
  </si>
  <si>
    <t>(G5)</t>
  </si>
  <si>
    <t>Az OBA tag által hitelintézet önkéntes betétbiztosítási alapban vagy kötelező intézményvédelmi szervezetben fennálló tagságára tekintettel fizetett tagdíj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</si>
</sst>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0_ ;[Red]\-#,##0\ "/>
    <numFmt numFmtId="165" formatCode="_-* #,##0\ _F_t_-;\-* #,##0\ _F_t_-;_-* &quot;-&quot;??\ _F_t_-;_-@_-"/>
    <numFmt numFmtId="166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3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1" fontId="6" fillId="0" borderId="6" xfId="0" applyNumberFormat="1" applyFont="1" applyFill="1" applyBorder="1" applyAlignment="1" applyProtection="1">
      <alignment horizontal="left" vertical="center"/>
      <protection locked="0"/>
    </xf>
    <xf numFmtId="3" fontId="0" fillId="0" borderId="0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3" fontId="6" fillId="2" borderId="7" xfId="0" applyNumberFormat="1" applyFont="1" applyFill="1" applyBorder="1" applyAlignment="1">
      <alignment horizontal="right" vertical="center"/>
    </xf>
    <xf numFmtId="0" fontId="0" fillId="0" borderId="7" xfId="0" applyBorder="1"/>
    <xf numFmtId="3" fontId="6" fillId="2" borderId="13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 applyProtection="1">
      <alignment horizontal="center" vertical="center" wrapText="1"/>
    </xf>
    <xf numFmtId="3" fontId="7" fillId="2" borderId="14" xfId="0" applyNumberFormat="1" applyFont="1" applyFill="1" applyBorder="1" applyAlignment="1" applyProtection="1">
      <alignment horizontal="center" vertical="center" wrapText="1"/>
    </xf>
    <xf numFmtId="3" fontId="0" fillId="2" borderId="16" xfId="0" applyNumberFormat="1" applyFill="1" applyBorder="1" applyAlignment="1" applyProtection="1">
      <alignment vertical="center"/>
      <protection locked="0"/>
    </xf>
    <xf numFmtId="3" fontId="0" fillId="3" borderId="16" xfId="0" applyNumberFormat="1" applyFont="1" applyFill="1" applyBorder="1" applyAlignment="1" applyProtection="1">
      <alignment vertical="center"/>
    </xf>
    <xf numFmtId="3" fontId="0" fillId="2" borderId="18" xfId="0" applyNumberFormat="1" applyFill="1" applyBorder="1" applyAlignment="1" applyProtection="1">
      <alignment vertical="center"/>
      <protection locked="0"/>
    </xf>
    <xf numFmtId="0" fontId="9" fillId="0" borderId="0" xfId="0" applyFont="1"/>
    <xf numFmtId="3" fontId="10" fillId="0" borderId="0" xfId="0" applyNumberFormat="1" applyFont="1" applyProtection="1">
      <protection hidden="1"/>
    </xf>
    <xf numFmtId="3" fontId="0" fillId="2" borderId="19" xfId="0" applyNumberFormat="1" applyFill="1" applyBorder="1" applyAlignment="1" applyProtection="1">
      <alignment vertical="center"/>
      <protection locked="0"/>
    </xf>
    <xf numFmtId="3" fontId="0" fillId="3" borderId="19" xfId="0" applyNumberFormat="1" applyFont="1" applyFill="1" applyBorder="1" applyAlignment="1" applyProtection="1">
      <alignment vertical="center"/>
    </xf>
    <xf numFmtId="3" fontId="0" fillId="2" borderId="20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>
      <alignment vertical="center"/>
    </xf>
    <xf numFmtId="3" fontId="0" fillId="5" borderId="22" xfId="0" applyNumberFormat="1" applyFont="1" applyFill="1" applyBorder="1" applyAlignment="1">
      <alignment vertical="center"/>
    </xf>
    <xf numFmtId="3" fontId="0" fillId="0" borderId="22" xfId="0" applyNumberFormat="1" applyFill="1" applyBorder="1" applyAlignment="1" applyProtection="1">
      <alignment vertical="center"/>
      <protection locked="0"/>
    </xf>
    <xf numFmtId="3" fontId="0" fillId="2" borderId="16" xfId="0" applyNumberFormat="1" applyFill="1" applyBorder="1" applyAlignment="1" applyProtection="1">
      <alignment vertical="center" wrapText="1"/>
      <protection locked="0"/>
    </xf>
    <xf numFmtId="3" fontId="0" fillId="2" borderId="18" xfId="0" applyNumberFormat="1" applyFill="1" applyBorder="1" applyAlignment="1" applyProtection="1">
      <alignment vertical="center" wrapText="1"/>
      <protection locked="0"/>
    </xf>
    <xf numFmtId="3" fontId="0" fillId="5" borderId="6" xfId="0" applyNumberFormat="1" applyFill="1" applyBorder="1" applyAlignment="1">
      <alignment vertical="center"/>
    </xf>
    <xf numFmtId="3" fontId="0" fillId="0" borderId="6" xfId="0" applyNumberFormat="1" applyFill="1" applyBorder="1" applyAlignment="1" applyProtection="1">
      <alignment vertical="center"/>
      <protection locked="0"/>
    </xf>
    <xf numFmtId="3" fontId="0" fillId="0" borderId="27" xfId="0" applyNumberFormat="1" applyFill="1" applyBorder="1" applyAlignment="1" applyProtection="1">
      <alignment vertical="center"/>
      <protection locked="0"/>
    </xf>
    <xf numFmtId="3" fontId="0" fillId="0" borderId="28" xfId="0" applyNumberFormat="1" applyFill="1" applyBorder="1" applyAlignment="1" applyProtection="1">
      <alignment vertical="center"/>
      <protection locked="0"/>
    </xf>
    <xf numFmtId="3" fontId="0" fillId="0" borderId="19" xfId="0" applyNumberFormat="1" applyFill="1" applyBorder="1" applyAlignment="1" applyProtection="1">
      <alignment vertical="center"/>
      <protection locked="0"/>
    </xf>
    <xf numFmtId="3" fontId="0" fillId="0" borderId="20" xfId="0" applyNumberFormat="1" applyFill="1" applyBorder="1" applyAlignment="1" applyProtection="1">
      <alignment vertical="center"/>
      <protection locked="0"/>
    </xf>
    <xf numFmtId="3" fontId="0" fillId="2" borderId="19" xfId="0" applyNumberFormat="1" applyFill="1" applyBorder="1" applyAlignment="1">
      <alignment horizontal="justify" vertical="center"/>
    </xf>
    <xf numFmtId="3" fontId="0" fillId="0" borderId="19" xfId="0" applyNumberFormat="1" applyBorder="1" applyAlignment="1">
      <alignment horizontal="justify" vertical="center"/>
    </xf>
    <xf numFmtId="3" fontId="0" fillId="0" borderId="19" xfId="0" applyNumberFormat="1" applyBorder="1" applyAlignment="1">
      <alignment horizontal="left" vertical="center" wrapText="1"/>
    </xf>
    <xf numFmtId="3" fontId="6" fillId="2" borderId="35" xfId="0" applyNumberFormat="1" applyFont="1" applyFill="1" applyBorder="1" applyAlignment="1">
      <alignment horizontal="center" vertical="center"/>
    </xf>
    <xf numFmtId="3" fontId="0" fillId="0" borderId="27" xfId="0" applyNumberFormat="1" applyBorder="1" applyAlignment="1">
      <alignment horizontal="left" vertical="center" wrapText="1"/>
    </xf>
    <xf numFmtId="164" fontId="0" fillId="2" borderId="27" xfId="0" applyNumberFormat="1" applyFill="1" applyBorder="1" applyAlignment="1" applyProtection="1">
      <alignment vertical="center"/>
      <protection locked="0"/>
    </xf>
    <xf numFmtId="3" fontId="0" fillId="4" borderId="27" xfId="0" applyNumberFormat="1" applyFill="1" applyBorder="1" applyAlignment="1" applyProtection="1">
      <alignment vertical="center"/>
    </xf>
    <xf numFmtId="164" fontId="0" fillId="2" borderId="28" xfId="0" applyNumberFormat="1" applyFill="1" applyBorder="1" applyAlignment="1" applyProtection="1">
      <alignment vertical="center"/>
      <protection locked="0"/>
    </xf>
    <xf numFmtId="3" fontId="0" fillId="6" borderId="22" xfId="0" applyNumberFormat="1" applyFill="1" applyBorder="1" applyAlignment="1">
      <alignment vertical="center"/>
    </xf>
    <xf numFmtId="3" fontId="0" fillId="6" borderId="22" xfId="0" applyNumberFormat="1" applyFill="1" applyBorder="1" applyAlignment="1" applyProtection="1">
      <alignment vertical="center"/>
    </xf>
    <xf numFmtId="3" fontId="0" fillId="6" borderId="23" xfId="0" applyNumberFormat="1" applyFill="1" applyBorder="1" applyAlignment="1" applyProtection="1">
      <alignment vertical="center"/>
    </xf>
    <xf numFmtId="0" fontId="6" fillId="0" borderId="38" xfId="0" applyFont="1" applyBorder="1" applyAlignment="1">
      <alignment horizontal="center" vertical="center"/>
    </xf>
    <xf numFmtId="3" fontId="6" fillId="0" borderId="27" xfId="0" applyNumberFormat="1" applyFont="1" applyFill="1" applyBorder="1" applyAlignment="1" applyProtection="1">
      <alignment vertical="center" wrapText="1"/>
      <protection locked="0"/>
    </xf>
    <xf numFmtId="3" fontId="6" fillId="2" borderId="42" xfId="0" applyNumberFormat="1" applyFont="1" applyFill="1" applyBorder="1" applyAlignment="1" applyProtection="1">
      <alignment horizontal="center" vertical="center"/>
    </xf>
    <xf numFmtId="3" fontId="11" fillId="0" borderId="20" xfId="0" applyNumberFormat="1" applyFont="1" applyFill="1" applyBorder="1" applyAlignment="1" applyProtection="1">
      <alignment horizontal="right" vertical="center" indent="1"/>
    </xf>
    <xf numFmtId="3" fontId="6" fillId="2" borderId="43" xfId="0" applyNumberFormat="1" applyFont="1" applyFill="1" applyBorder="1" applyAlignment="1" applyProtection="1">
      <alignment horizontal="center" vertical="center"/>
    </xf>
    <xf numFmtId="3" fontId="11" fillId="5" borderId="20" xfId="0" applyNumberFormat="1" applyFont="1" applyFill="1" applyBorder="1" applyAlignment="1" applyProtection="1">
      <alignment horizontal="right" vertical="center" indent="1"/>
      <protection locked="0"/>
    </xf>
    <xf numFmtId="3" fontId="11" fillId="0" borderId="25" xfId="0" applyNumberFormat="1" applyFont="1" applyFill="1" applyBorder="1" applyAlignment="1" applyProtection="1">
      <alignment horizontal="right" vertical="center" indent="1"/>
    </xf>
    <xf numFmtId="3" fontId="2" fillId="0" borderId="0" xfId="0" applyNumberFormat="1" applyFont="1"/>
    <xf numFmtId="3" fontId="6" fillId="2" borderId="44" xfId="0" applyNumberFormat="1" applyFont="1" applyFill="1" applyBorder="1" applyAlignment="1" applyProtection="1">
      <alignment horizontal="center" vertical="center"/>
    </xf>
    <xf numFmtId="3" fontId="6" fillId="2" borderId="45" xfId="0" applyNumberFormat="1" applyFont="1" applyFill="1" applyBorder="1" applyAlignment="1" applyProtection="1">
      <alignment horizontal="center" vertical="center"/>
    </xf>
    <xf numFmtId="3" fontId="0" fillId="2" borderId="22" xfId="0" applyNumberFormat="1" applyFill="1" applyBorder="1" applyAlignment="1" applyProtection="1">
      <alignment vertical="center"/>
      <protection locked="0"/>
    </xf>
    <xf numFmtId="3" fontId="0" fillId="2" borderId="23" xfId="0" applyNumberFormat="1" applyFill="1" applyBorder="1" applyAlignment="1" applyProtection="1">
      <alignment vertical="center"/>
      <protection locked="0"/>
    </xf>
    <xf numFmtId="3" fontId="0" fillId="3" borderId="27" xfId="0" applyNumberFormat="1" applyFont="1" applyFill="1" applyBorder="1" applyAlignment="1" applyProtection="1">
      <alignment vertical="center"/>
    </xf>
    <xf numFmtId="3" fontId="6" fillId="2" borderId="38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vertical="center" wrapText="1"/>
      <protection locked="0"/>
    </xf>
    <xf numFmtId="3" fontId="0" fillId="3" borderId="6" xfId="0" applyNumberFormat="1" applyFont="1" applyFill="1" applyBorder="1" applyAlignment="1" applyProtection="1">
      <alignment vertical="center"/>
    </xf>
    <xf numFmtId="2" fontId="11" fillId="5" borderId="28" xfId="0" applyNumberFormat="1" applyFont="1" applyFill="1" applyBorder="1" applyAlignment="1">
      <alignment horizontal="center"/>
    </xf>
    <xf numFmtId="1" fontId="11" fillId="5" borderId="20" xfId="0" applyNumberFormat="1" applyFont="1" applyFill="1" applyBorder="1" applyAlignment="1">
      <alignment horizontal="center"/>
    </xf>
    <xf numFmtId="3" fontId="0" fillId="7" borderId="6" xfId="0" applyNumberFormat="1" applyFill="1" applyBorder="1" applyAlignment="1" applyProtection="1">
      <alignment vertical="center"/>
    </xf>
    <xf numFmtId="3" fontId="0" fillId="0" borderId="27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6" fillId="5" borderId="19" xfId="0" applyNumberFormat="1" applyFont="1" applyFill="1" applyBorder="1" applyAlignment="1">
      <alignment horizontal="left" vertical="center" wrapText="1"/>
    </xf>
    <xf numFmtId="3" fontId="0" fillId="5" borderId="19" xfId="0" applyNumberFormat="1" applyFill="1" applyBorder="1" applyAlignment="1">
      <alignment vertical="center"/>
    </xf>
    <xf numFmtId="3" fontId="8" fillId="2" borderId="19" xfId="0" applyNumberFormat="1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wrapText="1"/>
    </xf>
    <xf numFmtId="3" fontId="0" fillId="5" borderId="20" xfId="0" applyNumberFormat="1" applyFill="1" applyBorder="1" applyAlignment="1">
      <alignment vertical="center"/>
    </xf>
    <xf numFmtId="3" fontId="0" fillId="2" borderId="22" xfId="0" applyNumberFormat="1" applyFill="1" applyBorder="1" applyAlignment="1">
      <alignment vertical="center" wrapText="1"/>
    </xf>
    <xf numFmtId="3" fontId="0" fillId="5" borderId="10" xfId="0" applyNumberFormat="1" applyFill="1" applyBorder="1" applyAlignment="1">
      <alignment vertical="center"/>
    </xf>
    <xf numFmtId="3" fontId="0" fillId="2" borderId="10" xfId="0" applyNumberFormat="1" applyFill="1" applyBorder="1" applyAlignment="1" applyProtection="1">
      <alignment vertical="center"/>
      <protection locked="0"/>
    </xf>
    <xf numFmtId="3" fontId="0" fillId="2" borderId="37" xfId="0" applyNumberFormat="1" applyFill="1" applyBorder="1" applyAlignment="1" applyProtection="1">
      <alignment vertical="center"/>
      <protection locked="0"/>
    </xf>
    <xf numFmtId="3" fontId="0" fillId="0" borderId="16" xfId="0" applyNumberFormat="1" applyBorder="1" applyAlignment="1">
      <alignment vertical="center" wrapText="1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23" xfId="0" applyNumberFormat="1" applyFill="1" applyBorder="1" applyAlignment="1" applyProtection="1">
      <alignment vertical="center"/>
      <protection locked="0"/>
    </xf>
    <xf numFmtId="3" fontId="0" fillId="5" borderId="6" xfId="0" applyNumberFormat="1" applyFill="1" applyBorder="1" applyAlignment="1" applyProtection="1">
      <alignment vertical="center"/>
      <protection locked="0"/>
    </xf>
    <xf numFmtId="3" fontId="0" fillId="5" borderId="25" xfId="0" applyNumberFormat="1" applyFill="1" applyBorder="1" applyAlignment="1" applyProtection="1">
      <alignment vertical="center"/>
      <protection locked="0"/>
    </xf>
    <xf numFmtId="165" fontId="9" fillId="0" borderId="0" xfId="1" applyNumberFormat="1" applyFont="1"/>
    <xf numFmtId="3" fontId="9" fillId="0" borderId="0" xfId="0" applyNumberFormat="1" applyFont="1"/>
    <xf numFmtId="3" fontId="7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Protection="1"/>
    <xf numFmtId="3" fontId="9" fillId="0" borderId="24" xfId="0" applyNumberFormat="1" applyFont="1" applyFill="1" applyBorder="1" applyAlignment="1" applyProtection="1">
      <alignment horizontal="center" vertical="center" wrapText="1"/>
    </xf>
    <xf numFmtId="3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3" fontId="9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Protection="1"/>
    <xf numFmtId="0" fontId="10" fillId="0" borderId="0" xfId="0" applyFont="1" applyProtection="1"/>
    <xf numFmtId="3" fontId="9" fillId="5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/>
    <xf numFmtId="3" fontId="9" fillId="0" borderId="0" xfId="0" applyNumberFormat="1" applyFont="1" applyFill="1"/>
    <xf numFmtId="0" fontId="9" fillId="0" borderId="0" xfId="0" applyFont="1" applyFill="1"/>
    <xf numFmtId="0" fontId="0" fillId="0" borderId="0" xfId="0" applyFill="1"/>
    <xf numFmtId="166" fontId="11" fillId="5" borderId="20" xfId="0" applyNumberFormat="1" applyFont="1" applyFill="1" applyBorder="1" applyAlignment="1">
      <alignment horizontal="center"/>
    </xf>
    <xf numFmtId="165" fontId="11" fillId="5" borderId="20" xfId="1" applyNumberFormat="1" applyFont="1" applyFill="1" applyBorder="1" applyAlignment="1" applyProtection="1">
      <alignment horizontal="center"/>
      <protection locked="0"/>
    </xf>
    <xf numFmtId="3" fontId="9" fillId="2" borderId="0" xfId="0" applyNumberFormat="1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 applyProtection="1">
      <alignment horizontal="center" vertical="center"/>
      <protection locked="0"/>
    </xf>
    <xf numFmtId="3" fontId="0" fillId="0" borderId="9" xfId="0" applyNumberFormat="1" applyFill="1" applyBorder="1" applyAlignment="1" applyProtection="1">
      <alignment horizontal="center" vertical="center"/>
      <protection locked="0"/>
    </xf>
    <xf numFmtId="3" fontId="0" fillId="0" borderId="10" xfId="0" applyNumberFormat="1" applyFill="1" applyBorder="1" applyAlignment="1" applyProtection="1">
      <alignment horizontal="center" vertical="center"/>
      <protection locked="0"/>
    </xf>
    <xf numFmtId="3" fontId="0" fillId="2" borderId="4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7" xfId="0" applyNumberFormat="1" applyFill="1" applyBorder="1" applyAlignment="1">
      <alignment horizontal="right" vertical="center"/>
    </xf>
    <xf numFmtId="3" fontId="6" fillId="2" borderId="15" xfId="0" applyNumberFormat="1" applyFont="1" applyFill="1" applyBorder="1" applyAlignment="1">
      <alignment horizontal="center" vertical="center" wrapText="1"/>
    </xf>
    <xf numFmtId="3" fontId="6" fillId="2" borderId="21" xfId="0" applyNumberFormat="1" applyFont="1" applyFill="1" applyBorder="1" applyAlignment="1">
      <alignment horizontal="center" vertical="center" wrapText="1"/>
    </xf>
    <xf numFmtId="3" fontId="0" fillId="4" borderId="17" xfId="0" applyNumberFormat="1" applyFill="1" applyBorder="1" applyAlignment="1" applyProtection="1">
      <alignment horizontal="center" vertical="center"/>
    </xf>
    <xf numFmtId="3" fontId="0" fillId="4" borderId="16" xfId="0" applyNumberFormat="1" applyFill="1" applyBorder="1" applyAlignment="1" applyProtection="1">
      <alignment horizontal="center" vertical="center"/>
    </xf>
    <xf numFmtId="3" fontId="0" fillId="4" borderId="17" xfId="0" applyNumberFormat="1" applyFill="1" applyBorder="1" applyAlignment="1" applyProtection="1">
      <alignment horizontal="center" vertical="center" wrapText="1"/>
    </xf>
    <xf numFmtId="3" fontId="0" fillId="4" borderId="16" xfId="0" applyNumberFormat="1" applyFill="1" applyBorder="1" applyAlignment="1" applyProtection="1">
      <alignment horizontal="center" vertical="center" wrapText="1"/>
    </xf>
    <xf numFmtId="3" fontId="6" fillId="2" borderId="26" xfId="0" applyNumberFormat="1" applyFont="1" applyFill="1" applyBorder="1" applyAlignment="1">
      <alignment horizontal="center" vertical="center" wrapText="1"/>
    </xf>
    <xf numFmtId="3" fontId="0" fillId="4" borderId="2" xfId="0" applyNumberFormat="1" applyFill="1" applyBorder="1" applyAlignment="1" applyProtection="1">
      <alignment horizontal="center" vertical="center"/>
    </xf>
    <xf numFmtId="3" fontId="0" fillId="4" borderId="0" xfId="0" applyNumberFormat="1" applyFill="1" applyBorder="1" applyAlignment="1" applyProtection="1">
      <alignment horizontal="center" vertical="center"/>
    </xf>
    <xf numFmtId="3" fontId="0" fillId="4" borderId="33" xfId="0" applyNumberFormat="1" applyFill="1" applyBorder="1" applyAlignment="1" applyProtection="1">
      <alignment horizontal="center" vertical="center"/>
    </xf>
    <xf numFmtId="3" fontId="0" fillId="4" borderId="29" xfId="0" applyNumberFormat="1" applyFill="1" applyBorder="1" applyAlignment="1">
      <alignment horizontal="center" vertical="center"/>
    </xf>
    <xf numFmtId="3" fontId="0" fillId="4" borderId="30" xfId="0" applyNumberFormat="1" applyFill="1" applyBorder="1" applyAlignment="1">
      <alignment horizontal="center" vertical="center"/>
    </xf>
    <xf numFmtId="3" fontId="0" fillId="4" borderId="31" xfId="0" applyNumberFormat="1" applyFill="1" applyBorder="1" applyAlignment="1">
      <alignment horizontal="center" vertical="center"/>
    </xf>
    <xf numFmtId="3" fontId="0" fillId="4" borderId="32" xfId="0" applyNumberFormat="1" applyFill="1" applyBorder="1" applyAlignment="1">
      <alignment horizontal="center" vertical="center"/>
    </xf>
    <xf numFmtId="3" fontId="0" fillId="4" borderId="33" xfId="0" applyNumberFormat="1" applyFill="1" applyBorder="1" applyAlignment="1">
      <alignment horizontal="center" vertical="center"/>
    </xf>
    <xf numFmtId="3" fontId="0" fillId="4" borderId="34" xfId="0" applyNumberFormat="1" applyFill="1" applyBorder="1" applyAlignment="1">
      <alignment horizontal="center" vertical="center"/>
    </xf>
    <xf numFmtId="3" fontId="6" fillId="6" borderId="36" xfId="0" applyNumberFormat="1" applyFont="1" applyFill="1" applyBorder="1" applyAlignment="1">
      <alignment horizontal="left" vertical="center"/>
    </xf>
    <xf numFmtId="3" fontId="6" fillId="6" borderId="37" xfId="0" applyNumberFormat="1" applyFont="1" applyFill="1" applyBorder="1" applyAlignment="1">
      <alignment horizontal="left" vertical="center"/>
    </xf>
    <xf numFmtId="3" fontId="6" fillId="0" borderId="39" xfId="0" applyNumberFormat="1" applyFont="1" applyFill="1" applyBorder="1" applyAlignment="1">
      <alignment horizontal="left" vertical="center" wrapText="1"/>
    </xf>
    <xf numFmtId="3" fontId="6" fillId="0" borderId="40" xfId="0" applyNumberFormat="1" applyFont="1" applyFill="1" applyBorder="1" applyAlignment="1">
      <alignment horizontal="left" vertical="center" wrapText="1"/>
    </xf>
    <xf numFmtId="3" fontId="0" fillId="4" borderId="41" xfId="0" applyNumberFormat="1" applyFill="1" applyBorder="1" applyAlignment="1" applyProtection="1">
      <alignment horizontal="center" vertical="center"/>
    </xf>
    <xf numFmtId="3" fontId="0" fillId="4" borderId="3" xfId="0" applyNumberFormat="1" applyFill="1" applyBorder="1" applyAlignment="1" applyProtection="1">
      <alignment horizontal="center" vertical="center"/>
    </xf>
    <xf numFmtId="3" fontId="0" fillId="4" borderId="24" xfId="0" applyNumberFormat="1" applyFill="1" applyBorder="1" applyAlignment="1" applyProtection="1">
      <alignment horizontal="center" vertical="center"/>
    </xf>
    <xf numFmtId="3" fontId="0" fillId="4" borderId="7" xfId="0" applyNumberFormat="1" applyFill="1" applyBorder="1" applyAlignment="1" applyProtection="1">
      <alignment horizontal="center" vertical="center"/>
    </xf>
    <xf numFmtId="3" fontId="6" fillId="0" borderId="24" xfId="0" applyNumberFormat="1" applyFont="1" applyFill="1" applyBorder="1" applyAlignment="1">
      <alignment horizontal="left" vertical="center" wrapText="1"/>
    </xf>
    <xf numFmtId="3" fontId="6" fillId="0" borderId="5" xfId="0" applyNumberFormat="1" applyFont="1" applyFill="1" applyBorder="1" applyAlignment="1">
      <alignment horizontal="left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3" fontId="10" fillId="2" borderId="44" xfId="0" applyNumberFormat="1" applyFont="1" applyFill="1" applyBorder="1" applyAlignment="1" applyProtection="1">
      <alignment horizontal="left" vertical="center" wrapText="1"/>
    </xf>
    <xf numFmtId="3" fontId="10" fillId="2" borderId="19" xfId="0" applyNumberFormat="1" applyFont="1" applyFill="1" applyBorder="1" applyAlignment="1" applyProtection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3" fontId="10" fillId="0" borderId="46" xfId="0" applyNumberFormat="1" applyFont="1" applyFill="1" applyBorder="1" applyAlignment="1" applyProtection="1">
      <alignment horizontal="left" vertical="center" wrapText="1"/>
    </xf>
    <xf numFmtId="3" fontId="10" fillId="0" borderId="6" xfId="0" applyNumberFormat="1" applyFont="1" applyFill="1" applyBorder="1" applyAlignment="1" applyProtection="1">
      <alignment horizontal="left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3" fontId="7" fillId="2" borderId="27" xfId="0" applyNumberFormat="1" applyFont="1" applyFill="1" applyBorder="1" applyAlignment="1">
      <alignment horizontal="center" vertical="center" wrapText="1"/>
    </xf>
    <xf numFmtId="3" fontId="7" fillId="2" borderId="28" xfId="0" applyNumberFormat="1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1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1238250</xdr:colOff>
      <xdr:row>3</xdr:row>
      <xdr:rowOff>123825</xdr:rowOff>
    </xdr:to>
    <xdr:pic>
      <xdr:nvPicPr>
        <xdr:cNvPr id="2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0"/>
  <sheetViews>
    <sheetView tabSelected="1" zoomScale="90" zoomScaleNormal="90" workbookViewId="0">
      <selection activeCell="L30" sqref="L30"/>
    </sheetView>
  </sheetViews>
  <sheetFormatPr defaultRowHeight="15" x14ac:dyDescent="0.25"/>
  <cols>
    <col min="1" max="1" width="17.5703125" customWidth="1"/>
    <col min="2" max="2" width="25.42578125" customWidth="1"/>
    <col min="3" max="3" width="16.140625" customWidth="1"/>
    <col min="4" max="4" width="16.7109375" customWidth="1"/>
    <col min="5" max="5" width="16.5703125" customWidth="1"/>
    <col min="6" max="6" width="16.42578125" customWidth="1"/>
    <col min="7" max="7" width="17.42578125" customWidth="1"/>
    <col min="8" max="8" width="18.42578125" customWidth="1"/>
    <col min="9" max="9" width="19.5703125" customWidth="1"/>
    <col min="10" max="10" width="20.85546875" customWidth="1"/>
    <col min="11" max="11" width="17.5703125" customWidth="1"/>
    <col min="12" max="12" width="19" customWidth="1"/>
    <col min="13" max="13" width="18.5703125" customWidth="1"/>
    <col min="14" max="14" width="18.42578125" customWidth="1"/>
    <col min="15" max="15" width="22.42578125" customWidth="1"/>
    <col min="16" max="16" width="34.42578125" hidden="1" customWidth="1"/>
    <col min="17" max="17" width="9.140625" hidden="1" customWidth="1"/>
    <col min="18" max="18" width="26" style="18" hidden="1" customWidth="1"/>
    <col min="19" max="19" width="19.85546875" style="18" hidden="1" customWidth="1"/>
    <col min="20" max="20" width="18.7109375" style="18" hidden="1" customWidth="1"/>
    <col min="21" max="22" width="9.140625" style="18" hidden="1" customWidth="1"/>
    <col min="23" max="24" width="18.7109375" style="18" hidden="1" customWidth="1"/>
    <col min="25" max="26" width="9.140625" customWidth="1"/>
  </cols>
  <sheetData>
    <row r="1" spans="1:24" ht="18" customHeight="1" x14ac:dyDescent="0.25">
      <c r="A1" s="1"/>
      <c r="B1" s="108" t="s">
        <v>51</v>
      </c>
      <c r="C1" s="108"/>
      <c r="D1" s="108"/>
      <c r="E1" s="108"/>
      <c r="F1" s="108"/>
      <c r="G1" s="108"/>
      <c r="H1" s="108"/>
      <c r="I1" s="2"/>
      <c r="M1" s="3"/>
      <c r="N1" s="3"/>
      <c r="O1" s="3"/>
    </row>
    <row r="2" spans="1:24" x14ac:dyDescent="0.25">
      <c r="A2" s="109" t="s">
        <v>0</v>
      </c>
      <c r="B2" s="110"/>
      <c r="C2" s="4"/>
      <c r="D2" s="5"/>
      <c r="E2" s="6"/>
      <c r="F2" s="6"/>
      <c r="G2" s="7"/>
      <c r="H2" s="8"/>
      <c r="I2" s="9" t="s">
        <v>1</v>
      </c>
      <c r="M2" s="3"/>
      <c r="N2" s="3"/>
      <c r="O2" s="3"/>
    </row>
    <row r="3" spans="1:24" x14ac:dyDescent="0.25">
      <c r="A3" s="109" t="s">
        <v>2</v>
      </c>
      <c r="B3" s="110"/>
      <c r="C3" s="111"/>
      <c r="D3" s="112"/>
      <c r="E3" s="112"/>
      <c r="F3" s="113"/>
      <c r="G3" s="6"/>
      <c r="H3" s="7"/>
      <c r="I3" s="10"/>
      <c r="M3" s="3"/>
      <c r="N3" s="3"/>
      <c r="O3" s="3"/>
    </row>
    <row r="4" spans="1:24" ht="15.75" thickBot="1" x14ac:dyDescent="0.3">
      <c r="A4" s="114"/>
      <c r="B4" s="115"/>
      <c r="C4" s="115"/>
      <c r="D4" s="115"/>
      <c r="E4" s="115"/>
      <c r="F4" s="115"/>
      <c r="G4" s="115"/>
      <c r="H4" s="115"/>
      <c r="I4" s="116"/>
      <c r="M4" s="3"/>
      <c r="N4" s="3"/>
      <c r="O4" s="3"/>
    </row>
    <row r="5" spans="1:24" ht="54.75" customHeight="1" thickBot="1" x14ac:dyDescent="0.3">
      <c r="A5" s="106" t="s">
        <v>52</v>
      </c>
      <c r="B5" s="107"/>
      <c r="C5" s="11" t="s">
        <v>3</v>
      </c>
      <c r="D5" s="12" t="s">
        <v>4</v>
      </c>
      <c r="E5" s="12" t="s">
        <v>5</v>
      </c>
      <c r="F5" s="11" t="s">
        <v>6</v>
      </c>
      <c r="G5" s="12" t="s">
        <v>7</v>
      </c>
      <c r="H5" s="13" t="s">
        <v>8</v>
      </c>
      <c r="I5" s="14" t="s">
        <v>9</v>
      </c>
      <c r="K5" s="18"/>
      <c r="L5" s="18"/>
      <c r="M5" s="18"/>
      <c r="N5" s="18"/>
      <c r="O5" s="18"/>
    </row>
    <row r="6" spans="1:24" ht="29.25" customHeight="1" x14ac:dyDescent="0.25">
      <c r="A6" s="117" t="s">
        <v>10</v>
      </c>
      <c r="B6" s="75" t="s">
        <v>61</v>
      </c>
      <c r="C6" s="15"/>
      <c r="D6" s="15"/>
      <c r="E6" s="15"/>
      <c r="F6" s="16">
        <f>+D6-E6</f>
        <v>0</v>
      </c>
      <c r="G6" s="119"/>
      <c r="H6" s="15"/>
      <c r="I6" s="17"/>
      <c r="J6" s="86" t="str">
        <f>+IF(AND(C6&gt;=D6,D6&gt;=E6,D6&gt;=F6,P6=0,Q6&gt;=0),"Jó felosztás","Rossz felosztás")</f>
        <v>Jó felosztás</v>
      </c>
      <c r="K6" s="86"/>
      <c r="L6" s="86"/>
      <c r="M6" s="86"/>
      <c r="N6" s="86"/>
      <c r="O6" s="86"/>
      <c r="P6" s="19">
        <f t="shared" ref="P6:P18" si="0">C6-(F6+H6+I6)</f>
        <v>0</v>
      </c>
      <c r="Q6" s="19">
        <f>I6-E6</f>
        <v>0</v>
      </c>
    </row>
    <row r="7" spans="1:24" ht="33.75" customHeight="1" x14ac:dyDescent="0.25">
      <c r="A7" s="117"/>
      <c r="B7" s="65" t="s">
        <v>63</v>
      </c>
      <c r="C7" s="20"/>
      <c r="D7" s="20"/>
      <c r="E7" s="20"/>
      <c r="F7" s="21">
        <f>+D7-E7</f>
        <v>0</v>
      </c>
      <c r="G7" s="119"/>
      <c r="H7" s="20"/>
      <c r="I7" s="22"/>
      <c r="J7" s="86" t="str">
        <f>+IF(AND(C7&gt;=D7,D7&gt;=E7,D7&gt;=F7,P7=0,Q7&gt;=0),"Jó felosztás","Rossz felosztás")</f>
        <v>Jó felosztás</v>
      </c>
      <c r="K7" s="86"/>
      <c r="L7" s="86"/>
      <c r="M7" s="86"/>
      <c r="N7" s="86"/>
      <c r="O7" s="86"/>
      <c r="P7" s="19">
        <f t="shared" si="0"/>
        <v>0</v>
      </c>
      <c r="Q7" s="19">
        <f>I7-E7</f>
        <v>0</v>
      </c>
    </row>
    <row r="8" spans="1:24" ht="36" customHeight="1" x14ac:dyDescent="0.25">
      <c r="A8" s="117"/>
      <c r="B8" s="65" t="s">
        <v>62</v>
      </c>
      <c r="C8" s="20"/>
      <c r="D8" s="20"/>
      <c r="E8" s="20"/>
      <c r="F8" s="21">
        <f>+D8-E8</f>
        <v>0</v>
      </c>
      <c r="G8" s="120"/>
      <c r="H8" s="20"/>
      <c r="I8" s="22"/>
      <c r="J8" s="86" t="str">
        <f>+IF(AND(C8&gt;=D8,D8&gt;=E8,D8&gt;=F8,P8=0,Q8&gt;=0),"Jó felosztás","Rossz felosztás")</f>
        <v>Jó felosztás</v>
      </c>
      <c r="K8" s="86"/>
      <c r="L8" s="86"/>
      <c r="M8" s="86"/>
      <c r="N8" s="86"/>
      <c r="O8" s="86"/>
      <c r="P8" s="19">
        <f t="shared" si="0"/>
        <v>0</v>
      </c>
      <c r="Q8" s="19">
        <f>I8-E8</f>
        <v>0</v>
      </c>
    </row>
    <row r="9" spans="1:24" ht="45.75" thickBot="1" x14ac:dyDescent="0.3">
      <c r="A9" s="118"/>
      <c r="B9" s="23" t="s">
        <v>11</v>
      </c>
      <c r="C9" s="76">
        <f>SUM(C6:C8)</f>
        <v>0</v>
      </c>
      <c r="D9" s="76">
        <f>SUM(D6:D8)</f>
        <v>0</v>
      </c>
      <c r="E9" s="76">
        <f>SUM(E6:E8)</f>
        <v>0</v>
      </c>
      <c r="F9" s="24">
        <f>SUM(F6:F8)</f>
        <v>0</v>
      </c>
      <c r="G9" s="25"/>
      <c r="H9" s="76">
        <f>SUM(H6:H8)</f>
        <v>0</v>
      </c>
      <c r="I9" s="77">
        <f>SUM(I6:I8)</f>
        <v>0</v>
      </c>
      <c r="J9" s="84" t="str">
        <f>+IF(AND(C9&gt;=D9,D9&gt;=E9,D9&gt;=F9,IF(AND(F9=0,G9=0),TRUE,IF(AND(F9&lt;&gt;0,G9&lt;&gt;0),TRUE,FALSE))),"Jó felosztás vagy kitöltve","Rossz felosztás vagy töltse ki a darabszámot!")</f>
        <v>Jó felosztás vagy kitöltve</v>
      </c>
      <c r="K9" s="85" t="str">
        <f>R9</f>
        <v>Hiányos részletezés P oszlop</v>
      </c>
      <c r="L9" s="85" t="str">
        <f t="shared" ref="L9:M9" si="1">S9</f>
        <v>Hiányos részletezés R oszlop</v>
      </c>
      <c r="M9" s="85" t="str">
        <f t="shared" si="1"/>
        <v>Hiányos részletezés S oszlop</v>
      </c>
      <c r="N9" s="86" t="str">
        <f>W9</f>
        <v>Hiányos részletezés V oszlop</v>
      </c>
      <c r="O9" s="86" t="str">
        <f>X9</f>
        <v>Hiányos részletezés Z oszlop</v>
      </c>
      <c r="P9" s="19">
        <f t="shared" si="0"/>
        <v>0</v>
      </c>
      <c r="Q9" s="19"/>
      <c r="R9" s="18" t="str">
        <f>IF(C9="","Hiányzó összesen",IF(C6="","Hiányos részletezés P oszlop",IF(C7="","Hiányos részletezés P oszlop",IF(C8="","Hiányos részletezés P oszlop",IF(SUM(C6,C7,C8)&lt;&gt;C9,"Eltérő összesen összeg","Jó kitöltés")))))</f>
        <v>Hiányos részletezés P oszlop</v>
      </c>
      <c r="S9" s="18" t="str">
        <f>IF(D9="","Hiányzó összesen",IF(D6="","Hiányos részletezés R oszlop",IF(D7="","Hiányos részletezés R oszlop",IF(D8="","Hiányos részletezés R oszlop",IF(SUM(D6,D7,D8)&lt;&gt;D9,"Eltérő összesen összeg","Jó kitöltés")))))</f>
        <v>Hiányos részletezés R oszlop</v>
      </c>
      <c r="T9" s="18" t="str">
        <f>IF(E9="","Hiányzó összesen",IF(E6="","Hiányos részletezés S oszlop",IF(E7="","Hiányos részletezés S oszlop",IF(E8="","Hiányos részletezés S oszlop",IF(SUM(E6,E7,E8)&lt;&gt;E9,"Eltérő összesen összeg","Jó kitöltés")))))</f>
        <v>Hiányos részletezés S oszlop</v>
      </c>
      <c r="W9" s="18" t="str">
        <f>IF(H9="","Hiányzó összesen",IF(H6="","Hiányos részletezés V oszlop",IF(H7="","Hiányos részletezés V oszlop",IF(H8="","Hiányos részletezés V oszlop",IF(SUM(H6,H7,H8)&lt;&gt;H9,"Eltérő összesen összeg","Jó kitöltés")))))</f>
        <v>Hiányos részletezés V oszlop</v>
      </c>
      <c r="X9" s="18" t="str">
        <f>IF(I9="","Hiányzó összesen",IF(I6="","Hiányos részletezés Z oszlop",IF(I7="","Hiányos részletezés Z oszlop",IF(I8="","Hiányos részletezés Z oszlop",IF(SUM(I6,I7,I8)&lt;&gt;I9,"Eltérő összesen összeg","Jó kitöltés")))))</f>
        <v>Hiányos részletezés Z oszlop</v>
      </c>
    </row>
    <row r="10" spans="1:24" ht="30" customHeight="1" x14ac:dyDescent="0.25">
      <c r="A10" s="117" t="s">
        <v>12</v>
      </c>
      <c r="B10" s="75" t="s">
        <v>61</v>
      </c>
      <c r="C10" s="26"/>
      <c r="D10" s="26"/>
      <c r="E10" s="26"/>
      <c r="F10" s="16">
        <f>+D10-E10</f>
        <v>0</v>
      </c>
      <c r="G10" s="121"/>
      <c r="H10" s="26"/>
      <c r="I10" s="27"/>
      <c r="J10" s="86" t="str">
        <f>+IF(AND(C10&gt;=D10,D10&gt;=E10,D10&gt;=F10,P10=0,Q10&gt;=0),"Jó felosztás","Rossz felosztás")</f>
        <v>Jó felosztás</v>
      </c>
      <c r="K10" s="86"/>
      <c r="L10" s="86"/>
      <c r="M10" s="86"/>
      <c r="N10" s="86"/>
      <c r="O10" s="86"/>
      <c r="P10" s="19">
        <f t="shared" si="0"/>
        <v>0</v>
      </c>
      <c r="Q10" s="19">
        <f>I10-E10</f>
        <v>0</v>
      </c>
    </row>
    <row r="11" spans="1:24" ht="28.5" customHeight="1" x14ac:dyDescent="0.25">
      <c r="A11" s="117"/>
      <c r="B11" s="65" t="s">
        <v>63</v>
      </c>
      <c r="C11" s="20"/>
      <c r="D11" s="20"/>
      <c r="E11" s="20"/>
      <c r="F11" s="21">
        <f>+D11-E11</f>
        <v>0</v>
      </c>
      <c r="G11" s="121"/>
      <c r="H11" s="20"/>
      <c r="I11" s="22"/>
      <c r="J11" s="86" t="str">
        <f>+IF(AND(C11&gt;=D11,D11&gt;=E11,D11&gt;=F11,P11=0,Q11&gt;=0),"Jó felosztás","Rossz felosztás")</f>
        <v>Jó felosztás</v>
      </c>
      <c r="K11" s="86"/>
      <c r="L11" s="86"/>
      <c r="M11" s="86"/>
      <c r="N11" s="86"/>
      <c r="O11" s="86"/>
      <c r="P11" s="19">
        <f t="shared" si="0"/>
        <v>0</v>
      </c>
      <c r="Q11" s="19">
        <f>I11-E11</f>
        <v>0</v>
      </c>
    </row>
    <row r="12" spans="1:24" ht="30.75" customHeight="1" x14ac:dyDescent="0.25">
      <c r="A12" s="117"/>
      <c r="B12" s="65" t="s">
        <v>62</v>
      </c>
      <c r="C12" s="20"/>
      <c r="D12" s="20"/>
      <c r="E12" s="20"/>
      <c r="F12" s="21">
        <f>+D12-E12</f>
        <v>0</v>
      </c>
      <c r="G12" s="122"/>
      <c r="H12" s="20"/>
      <c r="I12" s="22"/>
      <c r="J12" s="86" t="str">
        <f>+IF(AND(C12&gt;=D12,D12&gt;=E12,D12&gt;=F12,P12=0,Q12&gt;=0),"Jó felosztás","Rossz felosztás")</f>
        <v>Jó felosztás</v>
      </c>
      <c r="K12" s="86"/>
      <c r="L12" s="86"/>
      <c r="M12" s="86"/>
      <c r="N12" s="86"/>
      <c r="O12" s="86"/>
      <c r="P12" s="19">
        <f t="shared" si="0"/>
        <v>0</v>
      </c>
      <c r="Q12" s="19">
        <f>I12-E12</f>
        <v>0</v>
      </c>
    </row>
    <row r="13" spans="1:24" ht="45.75" thickBot="1" x14ac:dyDescent="0.3">
      <c r="A13" s="117"/>
      <c r="B13" s="28" t="s">
        <v>11</v>
      </c>
      <c r="C13" s="76">
        <f>SUM(C10:C12)</f>
        <v>0</v>
      </c>
      <c r="D13" s="76">
        <f>SUM(D10:D12)</f>
        <v>0</v>
      </c>
      <c r="E13" s="76">
        <f>SUM(E10:E12)</f>
        <v>0</v>
      </c>
      <c r="F13" s="23">
        <f>SUM(F10:F12)</f>
        <v>0</v>
      </c>
      <c r="G13" s="29"/>
      <c r="H13" s="78">
        <f>SUM(H10:H12)</f>
        <v>0</v>
      </c>
      <c r="I13" s="79">
        <f>SUM(I10:I12)</f>
        <v>0</v>
      </c>
      <c r="J13" s="84" t="str">
        <f>+IF(AND(C13&gt;=D13,D13&gt;=E13,D13&gt;=F13,IF(AND(F13=0,G13=0),TRUE,IF(AND(F13&lt;&gt;0,G13&lt;&gt;0),TRUE,FALSE))),"Jó felosztás vagy kitöltve","Rossz felosztás vagy töltse ki a darabszámot!")</f>
        <v>Jó felosztás vagy kitöltve</v>
      </c>
      <c r="K13" s="85" t="str">
        <f>R13</f>
        <v>Hiányos részletezés P oszlop</v>
      </c>
      <c r="L13" s="85" t="str">
        <f t="shared" ref="L13" si="2">S13</f>
        <v>Hiányos részletezés R oszlop</v>
      </c>
      <c r="M13" s="85" t="str">
        <f t="shared" ref="M13" si="3">T13</f>
        <v>Hiányos részletezés S oszlop</v>
      </c>
      <c r="N13" s="86" t="str">
        <f>W13</f>
        <v>Hiányos részletezés V oszlop</v>
      </c>
      <c r="O13" s="86" t="str">
        <f>X13</f>
        <v>Hiányos részletezés Z oszlop</v>
      </c>
      <c r="P13" s="19">
        <f t="shared" si="0"/>
        <v>0</v>
      </c>
      <c r="Q13" s="19"/>
      <c r="R13" s="18" t="str">
        <f>IF(C13="","Hiányzó összesen",IF(C10="","Hiányos részletezés P oszlop",IF(C11="","Hiányos részletezés P oszlop",IF(C12="","Hiányos részletezés P oszlop",IF(SUM(C10,C11,C12)&lt;&gt;C13,"Eltérő összesen összeg","Jó kitöltés")))))</f>
        <v>Hiányos részletezés P oszlop</v>
      </c>
      <c r="S13" s="18" t="str">
        <f>IF(D13="","Hiányzó összesen",IF(D10="","Hiányos részletezés R oszlop",IF(D11="","Hiányos részletezés R oszlop",IF(D12="","Hiányos részletezés R oszlop",IF(SUM(D10,D11,D12)&lt;&gt;D13,"Eltérő összesen összeg","Jó kitöltés")))))</f>
        <v>Hiányos részletezés R oszlop</v>
      </c>
      <c r="T13" s="18" t="str">
        <f>IF(E13="","Hiányzó összesen",IF(E10="","Hiányos részletezés S oszlop",IF(E11="","Hiányos részletezés S oszlop",IF(E12="","Hiányos részletezés S oszlop",IF(SUM(E10,E11,E12)&lt;&gt;E13,"Eltérő összesen összeg","Jó kitöltés")))))</f>
        <v>Hiányos részletezés S oszlop</v>
      </c>
      <c r="W13" s="18" t="str">
        <f>IF(H13="","Hiányzó összesen",IF(H10="","Hiányos részletezés V oszlop",IF(H11="","Hiányos részletezés V oszlop",IF(H12="","Hiányos részletezés V oszlop",IF(SUM(H10,H11,H12)&lt;&gt;H13,"Eltérő összesen összeg","Jó kitöltés")))))</f>
        <v>Hiányos részletezés V oszlop</v>
      </c>
      <c r="X13" s="18" t="str">
        <f>IF(I13="","Hiányzó összesen",IF(I10="","Hiányos részletezés Z oszlop",IF(I11="","Hiányos részletezés Z oszlop",IF(I12="","Hiányos részletezés Z oszlop",IF(SUM(I10,I11,I12)&lt;&gt;I13,"Eltérő összesen összeg","Jó kitöltés")))))</f>
        <v>Hiányos részletezés Z oszlop</v>
      </c>
    </row>
    <row r="14" spans="1:24" ht="45" x14ac:dyDescent="0.25">
      <c r="A14" s="123" t="s">
        <v>13</v>
      </c>
      <c r="B14" s="64" t="s">
        <v>70</v>
      </c>
      <c r="C14" s="30"/>
      <c r="D14" s="30"/>
      <c r="E14" s="30"/>
      <c r="F14" s="16">
        <f>+D14-E14</f>
        <v>0</v>
      </c>
      <c r="G14" s="124"/>
      <c r="H14" s="30"/>
      <c r="I14" s="31"/>
      <c r="J14" s="86" t="str">
        <f>+IF(AND(C14&gt;=D14,D14&gt;=E14,D14&gt;=F14,P14=0,Q14&gt;=0),"Jó felosztás","Rossz felosztás")</f>
        <v>Jó felosztás</v>
      </c>
      <c r="K14" s="86"/>
      <c r="L14" s="86"/>
      <c r="M14" s="86"/>
      <c r="N14" s="86"/>
      <c r="O14" s="86"/>
      <c r="P14" s="19">
        <f t="shared" si="0"/>
        <v>0</v>
      </c>
      <c r="Q14" s="19">
        <f>I14-E14</f>
        <v>0</v>
      </c>
    </row>
    <row r="15" spans="1:24" ht="105.75" thickBot="1" x14ac:dyDescent="0.3">
      <c r="A15" s="117"/>
      <c r="B15" s="65" t="s">
        <v>68</v>
      </c>
      <c r="C15" s="20"/>
      <c r="D15" s="20"/>
      <c r="E15" s="20"/>
      <c r="F15" s="21">
        <f>+D15-E15</f>
        <v>0</v>
      </c>
      <c r="G15" s="125"/>
      <c r="H15" s="32"/>
      <c r="I15" s="33"/>
      <c r="J15" s="86" t="str">
        <f>+IF(AND(C15&gt;=D15,D15&gt;=E15,D15&gt;=F15,P15=0,Q15&gt;=0),"Jó felosztás","Rossz felosztás")</f>
        <v>Jó felosztás</v>
      </c>
      <c r="K15" s="86"/>
      <c r="L15" s="86"/>
      <c r="M15" s="86"/>
      <c r="N15" s="86"/>
      <c r="O15" s="86"/>
      <c r="P15" s="19">
        <f t="shared" si="0"/>
        <v>0</v>
      </c>
      <c r="Q15" s="19">
        <f>I15-E15</f>
        <v>0</v>
      </c>
    </row>
    <row r="16" spans="1:24" ht="45" x14ac:dyDescent="0.25">
      <c r="A16" s="117"/>
      <c r="B16" s="64" t="s">
        <v>71</v>
      </c>
      <c r="C16" s="32"/>
      <c r="D16" s="32"/>
      <c r="E16" s="32"/>
      <c r="F16" s="21">
        <f>+D16-E16</f>
        <v>0</v>
      </c>
      <c r="G16" s="125"/>
      <c r="H16" s="20"/>
      <c r="I16" s="22"/>
      <c r="J16" s="86" t="str">
        <f>+IF(AND(C16&gt;=D16,D16&gt;=E16,D16&gt;=F16,P16=0,Q16&gt;=0),"Jó felosztás","Rossz felosztás")</f>
        <v>Jó felosztás</v>
      </c>
      <c r="K16" s="86"/>
      <c r="L16" s="86"/>
      <c r="M16" s="86"/>
      <c r="N16" s="86"/>
      <c r="O16" s="86"/>
      <c r="P16" s="19">
        <f t="shared" si="0"/>
        <v>0</v>
      </c>
      <c r="Q16" s="19">
        <f>I16-E16</f>
        <v>0</v>
      </c>
    </row>
    <row r="17" spans="1:24" ht="105" x14ac:dyDescent="0.25">
      <c r="A17" s="117"/>
      <c r="B17" s="65" t="s">
        <v>69</v>
      </c>
      <c r="C17" s="20"/>
      <c r="D17" s="20"/>
      <c r="E17" s="20"/>
      <c r="F17" s="21">
        <f>+D17-E17</f>
        <v>0</v>
      </c>
      <c r="G17" s="125"/>
      <c r="H17" s="20"/>
      <c r="I17" s="22"/>
      <c r="J17" s="86" t="str">
        <f>+IF(AND(C17&gt;=D17,D17&gt;=E17,D17&gt;=F17,P17=0,Q17&gt;=0),"Jó felosztás","Rossz felosztás")</f>
        <v>Jó felosztás</v>
      </c>
      <c r="K17" s="86"/>
      <c r="L17" s="86"/>
      <c r="M17" s="86"/>
      <c r="N17" s="86"/>
      <c r="O17" s="86"/>
      <c r="P17" s="19">
        <f t="shared" si="0"/>
        <v>0</v>
      </c>
      <c r="Q17" s="19">
        <f>I17-E17</f>
        <v>0</v>
      </c>
    </row>
    <row r="18" spans="1:24" ht="30" x14ac:dyDescent="0.25">
      <c r="A18" s="117"/>
      <c r="B18" s="34" t="s">
        <v>64</v>
      </c>
      <c r="C18" s="20"/>
      <c r="D18" s="32"/>
      <c r="E18" s="32"/>
      <c r="F18" s="21">
        <f>+D18-E18</f>
        <v>0</v>
      </c>
      <c r="G18" s="125"/>
      <c r="H18" s="63"/>
      <c r="I18" s="22"/>
      <c r="J18" s="86" t="str">
        <f>+IF(AND(C18&gt;=D18,D18&gt;=E18,D18&gt;=F18,P18=0,Q18&gt;=0),"Jó felosztás","Rossz felosztás")</f>
        <v>Jó felosztás</v>
      </c>
      <c r="K18" s="86"/>
      <c r="L18" s="86"/>
      <c r="M18" s="86"/>
      <c r="N18" s="86"/>
      <c r="O18" s="86"/>
      <c r="P18" s="19">
        <f t="shared" si="0"/>
        <v>0</v>
      </c>
      <c r="Q18" s="19">
        <f>I18-E18</f>
        <v>0</v>
      </c>
    </row>
    <row r="19" spans="1:24" ht="90" x14ac:dyDescent="0.25">
      <c r="A19" s="117"/>
      <c r="B19" s="35" t="s">
        <v>56</v>
      </c>
      <c r="C19" s="20"/>
      <c r="D19" s="127"/>
      <c r="E19" s="128"/>
      <c r="F19" s="129"/>
      <c r="G19" s="125"/>
      <c r="H19" s="119"/>
      <c r="I19" s="22"/>
      <c r="J19" s="86" t="str">
        <f>+IF(Q19=0,"Helyes","Ebben a sorban P-nek egyeznie kell Z-vel")</f>
        <v>Helyes</v>
      </c>
      <c r="K19" s="86"/>
      <c r="L19" s="86"/>
      <c r="M19" s="86"/>
      <c r="N19" s="86"/>
      <c r="O19" s="86"/>
      <c r="P19" s="19">
        <f>C19-I19</f>
        <v>0</v>
      </c>
      <c r="Q19" s="19">
        <f>E19-E19</f>
        <v>0</v>
      </c>
    </row>
    <row r="20" spans="1:24" ht="45" x14ac:dyDescent="0.25">
      <c r="A20" s="117"/>
      <c r="B20" s="36" t="s">
        <v>55</v>
      </c>
      <c r="C20" s="20"/>
      <c r="D20" s="130"/>
      <c r="E20" s="131"/>
      <c r="F20" s="132"/>
      <c r="G20" s="126"/>
      <c r="H20" s="120"/>
      <c r="I20" s="22"/>
      <c r="J20" s="86" t="str">
        <f>+IF(Q20=0,"Helyes","Ebben a sorban P-nek egyeznie kell Z-vel")</f>
        <v>Helyes</v>
      </c>
      <c r="K20" s="86"/>
      <c r="L20" s="86"/>
      <c r="M20" s="86"/>
      <c r="N20" s="86"/>
      <c r="O20" s="86"/>
      <c r="P20" s="19">
        <f>C20-I20</f>
        <v>0</v>
      </c>
      <c r="Q20" s="19">
        <f>E20-E20</f>
        <v>0</v>
      </c>
    </row>
    <row r="21" spans="1:24" ht="45.75" thickBot="1" x14ac:dyDescent="0.3">
      <c r="A21" s="118"/>
      <c r="B21" s="23" t="s">
        <v>11</v>
      </c>
      <c r="C21" s="76">
        <f>SUM(C14:C20)</f>
        <v>0</v>
      </c>
      <c r="D21" s="76">
        <f>SUM(D14:D18)</f>
        <v>0</v>
      </c>
      <c r="E21" s="76">
        <f>SUM(E14:E18)</f>
        <v>0</v>
      </c>
      <c r="F21" s="23">
        <f>SUM(F14:F18)</f>
        <v>0</v>
      </c>
      <c r="G21" s="25"/>
      <c r="H21" s="76">
        <f>SUM(H14:H18)</f>
        <v>0</v>
      </c>
      <c r="I21" s="77">
        <f>SUM(I14:I20)</f>
        <v>0</v>
      </c>
      <c r="J21" s="84" t="str">
        <f>+IF(AND(C21&gt;=D21,D21&gt;=E21,D21&gt;=F21,IF(AND(F21=0,G21=0),TRUE,IF(AND(F21&lt;&gt;0,G21&lt;&gt;0),TRUE,FALSE))),"Jó felosztás vagy kitöltve","Rossz felosztás vagy töltse ki a darabszámot!")</f>
        <v>Jó felosztás vagy kitöltve</v>
      </c>
      <c r="K21" s="85" t="str">
        <f>R21</f>
        <v>Hiányos részletezés P oszlop</v>
      </c>
      <c r="L21" s="85" t="str">
        <f t="shared" ref="L21" si="4">S21</f>
        <v>Hiányos részletezés R oszlop</v>
      </c>
      <c r="M21" s="85" t="str">
        <f t="shared" ref="M21" si="5">T21</f>
        <v>Hiányos részletezés S oszlop</v>
      </c>
      <c r="N21" s="86" t="str">
        <f>W21</f>
        <v>Hiányos részletezés V oszlop</v>
      </c>
      <c r="O21" s="86" t="str">
        <f>X21</f>
        <v>Hiányos részletezés Z oszlop</v>
      </c>
      <c r="P21" s="19">
        <f>C21-(F21+H21+I21)</f>
        <v>0</v>
      </c>
      <c r="Q21" s="19"/>
      <c r="R21" s="18" t="str">
        <f>IF(C21="","Hiányzó összesen",IF(C18="","Hiányos részletezés P oszlop",IF(C19="","Hiányos részletezés P oszlop",IF(C20="","Hiányos részletezés P oszlop",IF(SUM(C18,C19,C20)&lt;&gt;C21,"Eltérő összesen összeg","Jó kitöltés")))))</f>
        <v>Hiányos részletezés P oszlop</v>
      </c>
      <c r="S21" s="18" t="str">
        <f>IF(D21="","Hiányzó összesen",IF(D18="","Hiányos részletezés R oszlop",IF(D19="","Hiányos részletezés R oszlop",IF(D20="","Hiányos részletezés R oszlop",IF(SUM(D18,D19,D20)&lt;&gt;D21,"Eltérő összesen összeg","Jó kitöltés")))))</f>
        <v>Hiányos részletezés R oszlop</v>
      </c>
      <c r="T21" s="18" t="str">
        <f>IF(E21="","Hiányzó összesen",IF(E18="","Hiányos részletezés S oszlop",IF(E19="","Hiányos részletezés S oszlop",IF(E20="","Hiányos részletezés S oszlop",IF(SUM(E18,E19,E20)&lt;&gt;E21,"Eltérő összesen összeg","Jó kitöltés")))))</f>
        <v>Hiányos részletezés S oszlop</v>
      </c>
      <c r="W21" s="18" t="str">
        <f>IF(H21="","Hiányzó összesen",IF(H18="","Hiányos részletezés V oszlop",IF(H19="","Hiányos részletezés V oszlop",IF(H20="","Hiányos részletezés V oszlop",IF(SUM(H18,H19,H20)&lt;&gt;H21,"Eltérő összesen összeg","Jó kitöltés")))))</f>
        <v>Hiányos részletezés V oszlop</v>
      </c>
      <c r="X21" s="18" t="str">
        <f>IF(I21="","Hiányzó összesen",IF(I18="","Hiányos részletezés Z oszlop",IF(I19="","Hiányos részletezés Z oszlop",IF(I20="","Hiányos részletezés Z oszlop",IF(SUM(I18,I19,I20)&lt;&gt;I21,"Eltérő összesen összeg","Jó kitöltés")))))</f>
        <v>Hiányos részletezés Z oszlop</v>
      </c>
    </row>
    <row r="22" spans="1:24" ht="30" x14ac:dyDescent="0.25">
      <c r="A22" s="37" t="s">
        <v>14</v>
      </c>
      <c r="B22" s="38" t="s">
        <v>65</v>
      </c>
      <c r="C22" s="39"/>
      <c r="D22" s="39"/>
      <c r="E22" s="39"/>
      <c r="F22" s="21">
        <f>+D22-E22</f>
        <v>0</v>
      </c>
      <c r="G22" s="40"/>
      <c r="H22" s="39"/>
      <c r="I22" s="41"/>
      <c r="J22" s="86" t="str">
        <f>+IF(AND(C22&gt;=D22,D22&gt;=E22,D22&gt;=F22),"Jó felosztás","Rossz felosztás")</f>
        <v>Jó felosztás</v>
      </c>
      <c r="K22" s="86"/>
      <c r="L22" s="86"/>
      <c r="M22" s="86"/>
      <c r="N22" s="86"/>
      <c r="O22" s="86"/>
      <c r="P22" s="19">
        <f>C22-(F22+H22+I22)</f>
        <v>0</v>
      </c>
      <c r="Q22" s="19"/>
    </row>
    <row r="23" spans="1:24" ht="15.75" thickBot="1" x14ac:dyDescent="0.3">
      <c r="A23" s="133" t="s">
        <v>11</v>
      </c>
      <c r="B23" s="134"/>
      <c r="C23" s="42">
        <f>C9+C13+C21+C22</f>
        <v>0</v>
      </c>
      <c r="D23" s="42">
        <f>D9+D13+D21+D22</f>
        <v>0</v>
      </c>
      <c r="E23" s="42">
        <f>E9+E13+E21+E22</f>
        <v>0</v>
      </c>
      <c r="F23" s="42">
        <f>F22+F21+F13+F9</f>
        <v>0</v>
      </c>
      <c r="G23" s="43">
        <f>G9+G13+G21</f>
        <v>0</v>
      </c>
      <c r="H23" s="43">
        <f>H9+H13+H21+H22</f>
        <v>0</v>
      </c>
      <c r="I23" s="44">
        <f>I9+I13+I21+I22</f>
        <v>0</v>
      </c>
      <c r="J23" s="86" t="str">
        <f>+IF(P23=0,"Helyes","Téves felosztás!")</f>
        <v>Helyes</v>
      </c>
      <c r="K23" s="86"/>
      <c r="L23" s="86"/>
      <c r="M23" s="86"/>
      <c r="N23" s="86"/>
      <c r="O23" s="86"/>
      <c r="P23" s="19">
        <f>C23-(F23+H23+I23)</f>
        <v>0</v>
      </c>
      <c r="Q23" s="19">
        <f>E23-E23</f>
        <v>0</v>
      </c>
      <c r="R23" s="80">
        <f>I35*I26*I27/100+((I35*I26)*(100-I27)/100)*I29/100*I28/100</f>
        <v>0</v>
      </c>
    </row>
    <row r="24" spans="1:24" ht="22.5" customHeight="1" x14ac:dyDescent="0.25">
      <c r="A24" s="45" t="s">
        <v>15</v>
      </c>
      <c r="B24" s="135" t="s">
        <v>16</v>
      </c>
      <c r="C24" s="136"/>
      <c r="D24" s="46"/>
      <c r="E24" s="46"/>
      <c r="F24" s="57">
        <f>+D24-E24</f>
        <v>0</v>
      </c>
      <c r="G24" s="137"/>
      <c r="H24" s="124"/>
      <c r="I24" s="138"/>
      <c r="J24" s="86" t="str">
        <f>+IF(AND(D24&lt;=D23,E24&lt;=E23),"Helyes","Az (E) sor értékei nem lehetnek nagyobbak a fölötte levő összesennél")</f>
        <v>Helyes</v>
      </c>
      <c r="K24" s="86"/>
      <c r="L24" s="86"/>
      <c r="M24" s="86"/>
      <c r="N24" s="87"/>
      <c r="O24" s="87"/>
      <c r="R24" s="80"/>
    </row>
    <row r="25" spans="1:24" ht="15.75" customHeight="1" thickBot="1" x14ac:dyDescent="0.3">
      <c r="A25" s="49" t="s">
        <v>17</v>
      </c>
      <c r="B25" s="141" t="s">
        <v>18</v>
      </c>
      <c r="C25" s="142"/>
      <c r="D25" s="59"/>
      <c r="E25" s="59"/>
      <c r="F25" s="60">
        <f>+D25-E25</f>
        <v>0</v>
      </c>
      <c r="G25" s="139"/>
      <c r="H25" s="125"/>
      <c r="I25" s="140"/>
      <c r="J25" s="86" t="str">
        <f>+IF(AND(D25&lt;=D23,E25&lt;=E23),"Helyes","Az (E) sor értékei nem lehetnek nagyobbak a fölötte levő összesennél")</f>
        <v>Helyes</v>
      </c>
      <c r="K25" s="86"/>
      <c r="L25" s="86"/>
      <c r="M25" s="86"/>
      <c r="N25" s="87"/>
      <c r="O25" s="87"/>
    </row>
    <row r="26" spans="1:24" ht="15" customHeight="1" x14ac:dyDescent="0.25">
      <c r="A26" s="58" t="s">
        <v>46</v>
      </c>
      <c r="B26" s="145" t="s">
        <v>19</v>
      </c>
      <c r="C26" s="146"/>
      <c r="D26" s="146"/>
      <c r="E26" s="146"/>
      <c r="F26" s="146"/>
      <c r="G26" s="146"/>
      <c r="H26" s="146"/>
      <c r="I26" s="61">
        <v>1.75</v>
      </c>
      <c r="M26" s="3"/>
      <c r="N26" s="3"/>
      <c r="O26" s="3"/>
    </row>
    <row r="27" spans="1:24" ht="15" customHeight="1" x14ac:dyDescent="0.25">
      <c r="A27" s="47" t="s">
        <v>43</v>
      </c>
      <c r="B27" s="149" t="s">
        <v>48</v>
      </c>
      <c r="C27" s="150"/>
      <c r="D27" s="150"/>
      <c r="E27" s="150"/>
      <c r="F27" s="150"/>
      <c r="G27" s="150"/>
      <c r="H27" s="150"/>
      <c r="I27" s="62">
        <v>20</v>
      </c>
      <c r="M27" s="3"/>
      <c r="N27" s="3"/>
      <c r="O27" s="3"/>
    </row>
    <row r="28" spans="1:24" ht="15" customHeight="1" x14ac:dyDescent="0.25">
      <c r="A28" s="47" t="s">
        <v>44</v>
      </c>
      <c r="B28" s="149" t="s">
        <v>45</v>
      </c>
      <c r="C28" s="150"/>
      <c r="D28" s="150"/>
      <c r="E28" s="150"/>
      <c r="F28" s="150"/>
      <c r="G28" s="150"/>
      <c r="H28" s="150"/>
      <c r="I28" s="103">
        <v>121</v>
      </c>
      <c r="M28" s="3"/>
      <c r="N28" s="3"/>
      <c r="O28" s="3"/>
    </row>
    <row r="29" spans="1:24" ht="15" customHeight="1" x14ac:dyDescent="0.25">
      <c r="A29" s="47" t="s">
        <v>47</v>
      </c>
      <c r="B29" s="149" t="s">
        <v>50</v>
      </c>
      <c r="C29" s="150"/>
      <c r="D29" s="150"/>
      <c r="E29" s="150"/>
      <c r="F29" s="150"/>
      <c r="G29" s="150"/>
      <c r="H29" s="150"/>
      <c r="I29" s="104"/>
      <c r="M29" s="3"/>
      <c r="N29" s="3"/>
      <c r="O29" s="3"/>
      <c r="P29">
        <f>(I35*I26*I27/100)</f>
        <v>0</v>
      </c>
    </row>
    <row r="30" spans="1:24" ht="33.75" customHeight="1" x14ac:dyDescent="0.25">
      <c r="A30" s="47" t="s">
        <v>76</v>
      </c>
      <c r="B30" s="149" t="s">
        <v>77</v>
      </c>
      <c r="C30" s="150"/>
      <c r="D30" s="150"/>
      <c r="E30" s="150"/>
      <c r="F30" s="150"/>
      <c r="G30" s="150"/>
      <c r="H30" s="150"/>
      <c r="I30" s="104"/>
      <c r="M30" s="3"/>
      <c r="N30" s="3"/>
      <c r="O30" s="3"/>
    </row>
    <row r="31" spans="1:24" ht="15" customHeight="1" x14ac:dyDescent="0.25">
      <c r="A31" s="47" t="s">
        <v>20</v>
      </c>
      <c r="B31" s="147" t="s">
        <v>53</v>
      </c>
      <c r="C31" s="148"/>
      <c r="D31" s="148"/>
      <c r="E31" s="148"/>
      <c r="F31" s="148"/>
      <c r="G31" s="148"/>
      <c r="H31" s="148"/>
      <c r="I31" s="48">
        <f>IF(P29&gt;I30,((I35*I26*I27/100)-I30)+((I35*I26)*(100-I27)/100)*I29/100*I28/100,(((I35*I26)*(100-I27)/100)*I29/100*I28/100))</f>
        <v>0</v>
      </c>
      <c r="M31" s="3"/>
      <c r="N31" s="3"/>
      <c r="O31" s="3"/>
    </row>
    <row r="32" spans="1:24" ht="15" customHeight="1" x14ac:dyDescent="0.25">
      <c r="A32" s="47" t="s">
        <v>21</v>
      </c>
      <c r="B32" s="147" t="s">
        <v>54</v>
      </c>
      <c r="C32" s="148"/>
      <c r="D32" s="148"/>
      <c r="E32" s="148"/>
      <c r="F32" s="148"/>
      <c r="G32" s="148"/>
      <c r="H32" s="148"/>
      <c r="I32" s="50"/>
      <c r="M32" s="3"/>
      <c r="N32" s="3"/>
      <c r="O32" s="3"/>
    </row>
    <row r="33" spans="1:24" ht="15" customHeight="1" x14ac:dyDescent="0.25">
      <c r="A33" s="47" t="s">
        <v>22</v>
      </c>
      <c r="B33" s="147" t="s">
        <v>23</v>
      </c>
      <c r="C33" s="148"/>
      <c r="D33" s="148"/>
      <c r="E33" s="148"/>
      <c r="F33" s="148"/>
      <c r="G33" s="148"/>
      <c r="H33" s="148"/>
      <c r="I33" s="48">
        <f>I31/2-I32+I34</f>
        <v>0</v>
      </c>
      <c r="M33" s="3"/>
      <c r="N33" s="3"/>
      <c r="O33" s="3"/>
    </row>
    <row r="34" spans="1:24" ht="15.75" customHeight="1" x14ac:dyDescent="0.25">
      <c r="A34" s="47" t="s">
        <v>24</v>
      </c>
      <c r="B34" s="147" t="s">
        <v>25</v>
      </c>
      <c r="C34" s="148"/>
      <c r="D34" s="148"/>
      <c r="E34" s="148"/>
      <c r="F34" s="148"/>
      <c r="G34" s="148"/>
      <c r="H34" s="148"/>
      <c r="I34" s="48">
        <f>I31/4</f>
        <v>0</v>
      </c>
      <c r="M34" s="3"/>
      <c r="N34" s="3"/>
      <c r="O34" s="3"/>
    </row>
    <row r="35" spans="1:24" ht="15.75" customHeight="1" thickBot="1" x14ac:dyDescent="0.3">
      <c r="A35" s="49" t="s">
        <v>49</v>
      </c>
      <c r="B35" s="151" t="s">
        <v>67</v>
      </c>
      <c r="C35" s="152"/>
      <c r="D35" s="152"/>
      <c r="E35" s="152"/>
      <c r="F35" s="152"/>
      <c r="G35" s="152"/>
      <c r="H35" s="152"/>
      <c r="I35" s="51">
        <f>C41+D41</f>
        <v>0</v>
      </c>
      <c r="M35" s="3"/>
      <c r="N35" s="3"/>
      <c r="O35" s="3"/>
    </row>
    <row r="36" spans="1:24" ht="36" customHeight="1" thickBot="1" x14ac:dyDescent="0.3">
      <c r="A36" s="153" t="s">
        <v>60</v>
      </c>
      <c r="B36" s="154"/>
      <c r="C36" s="154"/>
      <c r="D36" s="154"/>
      <c r="E36" s="154"/>
      <c r="F36" s="155"/>
      <c r="G36" s="155"/>
      <c r="H36" s="155"/>
      <c r="I36" s="155"/>
      <c r="J36" s="155"/>
      <c r="K36" s="155"/>
      <c r="L36" s="155"/>
      <c r="M36" s="155"/>
      <c r="N36" s="156"/>
      <c r="O36" s="82"/>
    </row>
    <row r="37" spans="1:24" s="102" customFormat="1" ht="96" x14ac:dyDescent="0.25">
      <c r="A37" s="143" t="s">
        <v>26</v>
      </c>
      <c r="B37" s="144"/>
      <c r="C37" s="92" t="s">
        <v>72</v>
      </c>
      <c r="D37" s="92" t="s">
        <v>73</v>
      </c>
      <c r="E37" s="94" t="s">
        <v>74</v>
      </c>
      <c r="F37" s="93" t="s">
        <v>57</v>
      </c>
      <c r="G37" s="95" t="s">
        <v>58</v>
      </c>
      <c r="H37" s="95" t="s">
        <v>27</v>
      </c>
      <c r="I37" s="95" t="s">
        <v>28</v>
      </c>
      <c r="J37" s="95" t="s">
        <v>29</v>
      </c>
      <c r="K37" s="95" t="s">
        <v>30</v>
      </c>
      <c r="L37" s="95" t="s">
        <v>59</v>
      </c>
      <c r="M37" s="95" t="s">
        <v>66</v>
      </c>
      <c r="N37" s="96" t="s">
        <v>75</v>
      </c>
      <c r="O37" s="97"/>
      <c r="P37" s="98" t="str">
        <f>+IF(AND(OR(C46&lt;=31014,C46=0),OR(D46&gt;31014,D46=0),OR(E46&gt;=0,E46=0),OR(F46&lt;1,F46=0),OR(AND(G46&gt;=1,G46&lt;=100),G46=0),OR(AND(H46&gt;100,H46&lt;=1000),H46=0),OR(AND(I46&gt;1000,I46&lt;=2000),I46=0),OR(AND(J46&gt;2000,J46&lt;=5000),J46=0),OR(AND(K46&gt;5000,K46&lt;=15000),K46=0),OR(AND(L46&gt;15000,L46&lt;=31014),L46=0),OR(AND(M46&gt;31014,M46&lt;=46521),M46=0),OR(AND(N46&gt;46521),N46=0)),"Jó átlag, vagy kitöltendő","Rossz átlag")</f>
        <v>Jó átlag, vagy kitöltendő</v>
      </c>
      <c r="Q37" s="99"/>
      <c r="R37" s="100"/>
      <c r="S37" s="101"/>
      <c r="T37" s="101"/>
      <c r="U37" s="101"/>
      <c r="V37" s="101"/>
      <c r="W37" s="101"/>
      <c r="X37" s="101"/>
    </row>
    <row r="38" spans="1:24" ht="45" x14ac:dyDescent="0.25">
      <c r="A38" s="53" t="s">
        <v>31</v>
      </c>
      <c r="B38" s="66" t="s">
        <v>32</v>
      </c>
      <c r="C38" s="67">
        <f t="shared" ref="C38:K38" si="6">C39+C40</f>
        <v>0</v>
      </c>
      <c r="D38" s="67">
        <f t="shared" si="6"/>
        <v>0</v>
      </c>
      <c r="E38" s="70">
        <f>E39+E40</f>
        <v>0</v>
      </c>
      <c r="F38" s="72">
        <f t="shared" si="6"/>
        <v>0</v>
      </c>
      <c r="G38" s="67">
        <f t="shared" si="6"/>
        <v>0</v>
      </c>
      <c r="H38" s="67">
        <f t="shared" si="6"/>
        <v>0</v>
      </c>
      <c r="I38" s="67">
        <f t="shared" si="6"/>
        <v>0</v>
      </c>
      <c r="J38" s="67">
        <f t="shared" si="6"/>
        <v>0</v>
      </c>
      <c r="K38" s="67">
        <f t="shared" si="6"/>
        <v>0</v>
      </c>
      <c r="L38" s="67">
        <f>L39+L40</f>
        <v>0</v>
      </c>
      <c r="M38" s="67">
        <f t="shared" ref="M38:N38" si="7">M39+M40</f>
        <v>0</v>
      </c>
      <c r="N38" s="67">
        <f t="shared" si="7"/>
        <v>0</v>
      </c>
      <c r="O38" s="90" t="str">
        <f>IF(AND(C38=SUM(F38:L38),D38=SUM(M38:N38)),"Kitöltendő vagy minden ügyfél besorolva","(T)1-nek egyeznie kell a (T)11-(T)17 oszlopok összegével és (T)2-nek (T)18+(t)19 oszlopok összegével")</f>
        <v>Kitöltendő vagy minden ügyfél besorolva</v>
      </c>
      <c r="P38" s="18" t="str">
        <f>IF((C38)=SUM(F38:L38),"Helyes","(T)1-nek egyeznie kell a (T)11-(T)17 oszlopok összegével")</f>
        <v>Helyes</v>
      </c>
      <c r="Q38" s="3"/>
    </row>
    <row r="39" spans="1:24" ht="30" x14ac:dyDescent="0.25">
      <c r="A39" s="53" t="s">
        <v>33</v>
      </c>
      <c r="B39" s="68" t="s">
        <v>34</v>
      </c>
      <c r="C39" s="20"/>
      <c r="D39" s="20"/>
      <c r="E39" s="22"/>
      <c r="F39" s="73"/>
      <c r="G39" s="20"/>
      <c r="H39" s="20"/>
      <c r="I39" s="20"/>
      <c r="J39" s="20"/>
      <c r="K39" s="20"/>
      <c r="L39" s="20"/>
      <c r="M39" s="20"/>
      <c r="N39" s="22"/>
      <c r="O39" s="105" t="str">
        <f>+IF(OR(ISBLANK(C39),ISBLANK(D39),ISBLANK(E39),ISBLANK(F39),ISBLANK(G39),ISBLANK(H39),ISBLANK(I39),ISBLANK(J39),ISBLANK(K39),ISBLANK(L39),ISBLANK(M39),ISBLANK(N39)),"Kitöltendő cellák 0-val, vagy értékkel","Minden cella kitöltött")</f>
        <v>Kitöltendő cellák 0-val, vagy értékkel</v>
      </c>
      <c r="P39" s="18" t="str">
        <f>+IF(OR(ISBLANK(C39),ISBLANK(D39),ISBLANK(E39),ISBLANK(F39),ISBLANK(G39),ISBLANK(H39),ISBLANK(I39),ISBLANK(J39),ISBLANK(K39),ISBLANK(L39),ISBLANK(M39),ISBLANK(N39)),"Kitöltendő cellák 0-val, vagy értékkel","Minden cella kitöltött")</f>
        <v>Kitöltendő cellák 0-val, vagy értékkel</v>
      </c>
      <c r="Q39" s="52"/>
    </row>
    <row r="40" spans="1:24" ht="30" x14ac:dyDescent="0.25">
      <c r="A40" s="53" t="s">
        <v>35</v>
      </c>
      <c r="B40" s="68" t="s">
        <v>36</v>
      </c>
      <c r="C40" s="20"/>
      <c r="D40" s="20"/>
      <c r="E40" s="22"/>
      <c r="F40" s="73"/>
      <c r="G40" s="20"/>
      <c r="H40" s="20"/>
      <c r="I40" s="20"/>
      <c r="J40" s="20"/>
      <c r="K40" s="20"/>
      <c r="L40" s="20"/>
      <c r="M40" s="20"/>
      <c r="N40" s="22"/>
      <c r="O40" s="105" t="str">
        <f>+IF(OR(ISBLANK(C40),ISBLANK(D40),ISBLANK(E40),ISBLANK(F40),ISBLANK(G40),ISBLANK(H40),ISBLANK(I40),ISBLANK(J40),ISBLANK(K40),ISBLANK(L40),ISBLANK(M40),ISBLANK(N40)),"Kitöltendő cellák 0-val, vagy értékkel","Minden cella kitöltött")</f>
        <v>Kitöltendő cellák 0-val, vagy értékkel</v>
      </c>
      <c r="P40" s="18" t="str">
        <f>+IF(OR(ISBLANK(C40),ISBLANK(D40),ISBLANK(E40),ISBLANK(F40),ISBLANK(G40),ISBLANK(H40),ISBLANK(I40),ISBLANK(J40),ISBLANK(K40),ISBLANK(L40),ISBLANK(M40),ISBLANK(N40)),"Kitöltendő cellák 0-val, vagy értékkel","Minden cella kitöltött")</f>
        <v>Kitöltendő cellák 0-val, vagy értékkel</v>
      </c>
      <c r="Q40" s="52"/>
      <c r="R40" s="81"/>
      <c r="S40" s="81"/>
    </row>
    <row r="41" spans="1:24" ht="45" x14ac:dyDescent="0.25">
      <c r="A41" s="53" t="s">
        <v>37</v>
      </c>
      <c r="B41" s="69" t="s">
        <v>38</v>
      </c>
      <c r="C41" s="67">
        <f t="shared" ref="C41:K41" si="8">C42+C43</f>
        <v>0</v>
      </c>
      <c r="D41" s="67">
        <f t="shared" si="8"/>
        <v>0</v>
      </c>
      <c r="E41" s="70">
        <f>E42+E43</f>
        <v>0</v>
      </c>
      <c r="F41" s="72">
        <f t="shared" si="8"/>
        <v>0</v>
      </c>
      <c r="G41" s="67">
        <f t="shared" si="8"/>
        <v>0</v>
      </c>
      <c r="H41" s="67">
        <f t="shared" si="8"/>
        <v>0</v>
      </c>
      <c r="I41" s="67">
        <f t="shared" si="8"/>
        <v>0</v>
      </c>
      <c r="J41" s="67">
        <f t="shared" si="8"/>
        <v>0</v>
      </c>
      <c r="K41" s="67">
        <f t="shared" si="8"/>
        <v>0</v>
      </c>
      <c r="L41" s="67">
        <f>L42+L43</f>
        <v>0</v>
      </c>
      <c r="M41" s="67">
        <f t="shared" ref="M41:N41" si="9">M42+M43</f>
        <v>0</v>
      </c>
      <c r="N41" s="67">
        <f t="shared" si="9"/>
        <v>0</v>
      </c>
      <c r="O41" s="90" t="str">
        <f>IF(AND(C41=SUM(F41:L41),D41=SUM(M41:N41),F23&lt;=SUM(C41:E41)),"Kitöltendő vagy minden betétösszeg besorolva","(T)1-nek egyeznie kell a (T)11-(T)17 oszlopok összegével és (T)2-nek (T)18+(t)19 oszlopok összegével")</f>
        <v>Kitöltendő vagy minden betétösszeg besorolva</v>
      </c>
      <c r="P41" s="18" t="str">
        <f>IF((C41)=SUM(F41:L41),"Helyes","(T)1-nek egyeznie kell a (T)11-(T)17 oszlopok összegével")</f>
        <v>Helyes</v>
      </c>
      <c r="Q41" s="3"/>
    </row>
    <row r="42" spans="1:24" ht="38.25" x14ac:dyDescent="0.25">
      <c r="A42" s="53" t="s">
        <v>39</v>
      </c>
      <c r="B42" s="68" t="s">
        <v>40</v>
      </c>
      <c r="C42" s="20"/>
      <c r="D42" s="20"/>
      <c r="E42" s="22"/>
      <c r="F42" s="73"/>
      <c r="G42" s="20"/>
      <c r="H42" s="20"/>
      <c r="I42" s="20"/>
      <c r="J42" s="20"/>
      <c r="K42" s="20"/>
      <c r="L42" s="20"/>
      <c r="M42" s="20"/>
      <c r="N42" s="22"/>
      <c r="O42" s="105" t="str">
        <f>+IF(OR(ISBLANK(C42),ISBLANK(D42),ISBLANK(E42),ISBLANK(F42),ISBLANK(G42),ISBLANK(H42),ISBLANK(I42),ISBLANK(J42),ISBLANK(K42),ISBLANK(L42),ISBLANK(M42),ISBLANK(N42)),"Kitöltendő cellák 0-val, vagy értékkel","Minden cella kitöltött")</f>
        <v>Kitöltendő cellák 0-val, vagy értékkel</v>
      </c>
      <c r="P42" s="18" t="str">
        <f>+IF(OR(ISBLANK(C42),ISBLANK(D42),ISBLANK(E42),ISBLANK(F42),ISBLANK(G42),ISBLANK(H42),ISBLANK(I42),ISBLANK(J42),ISBLANK(K42),ISBLANK(L42),ISBLANK(M42),ISBLANK(N42)),"Kitöltendő cellák 0-val, vagy értékkel","Minden cella kitöltött")</f>
        <v>Kitöltendő cellák 0-val, vagy értékkel</v>
      </c>
      <c r="Q42" s="52"/>
    </row>
    <row r="43" spans="1:24" ht="45.75" thickBot="1" x14ac:dyDescent="0.3">
      <c r="A43" s="54" t="s">
        <v>41</v>
      </c>
      <c r="B43" s="71" t="s">
        <v>42</v>
      </c>
      <c r="C43" s="55"/>
      <c r="D43" s="55"/>
      <c r="E43" s="56"/>
      <c r="F43" s="74"/>
      <c r="G43" s="55"/>
      <c r="H43" s="55"/>
      <c r="I43" s="55"/>
      <c r="J43" s="55"/>
      <c r="K43" s="55"/>
      <c r="L43" s="55"/>
      <c r="M43" s="55"/>
      <c r="N43" s="56"/>
      <c r="O43" s="105" t="str">
        <f>+IF(OR(ISBLANK(C43),ISBLANK(D43),ISBLANK(E43),ISBLANK(F43),ISBLANK(G43),ISBLANK(H43),ISBLANK(I43),ISBLANK(J43),ISBLANK(K43),ISBLANK(L43),ISBLANK(M43),ISBLANK(N43)),"Kitöltendő cellák 0-val, vagy értékkel","Minden cella kitöltött")</f>
        <v>Kitöltendő cellák 0-val, vagy értékkel</v>
      </c>
      <c r="P43" s="18" t="str">
        <f>+IF(OR(ISBLANK(C43),ISBLANK(D43),ISBLANK(E43),ISBLANK(F43),ISBLANK(G43),ISBLANK(H43),ISBLANK(I43),ISBLANK(J43),ISBLANK(K43),ISBLANK(L43),ISBLANK(M43),ISBLANK(N43)),"Kitöltendő cellák 0-val, vagy értékkel","Minden cella kitöltött")</f>
        <v>Kitöltendő cellák 0-val, vagy értékkel</v>
      </c>
      <c r="Q43" s="3"/>
    </row>
    <row r="44" spans="1:24" x14ac:dyDescent="0.25">
      <c r="M44" s="3"/>
      <c r="N44" s="3"/>
      <c r="O44" s="3"/>
    </row>
    <row r="45" spans="1:24" s="83" customFormat="1" x14ac:dyDescent="0.25">
      <c r="C45" s="91" t="str">
        <f>IF(AND(C39&lt;&gt;"",C40&lt;&gt;"",C42&lt;&gt;"",C43&lt;&gt;""),IF(AND(C41/C38&lt;=31014,C42/C39&lt;=31014,C43/C40&lt;=31014),"Jó felosztás","Rossz felosztás"),"Kitöltetlen")</f>
        <v>Kitöltetlen</v>
      </c>
      <c r="D45" s="91" t="str">
        <f>IF(AND(D39&lt;&gt;"",D40&lt;&gt;"",D42&lt;&gt;"",D43&lt;&gt;""),IF(AND(D41/D38&gt;31014,D42/D39&gt;31014,D43/D40&gt;31014),"Jó felosztás","Rossz felosztás"),"Kitöltetlen")</f>
        <v>Kitöltetlen</v>
      </c>
      <c r="E45" s="91" t="str">
        <f>IF(AND(E39&lt;&gt;"",E40&lt;&gt;"",E42&lt;&gt;"",E43&lt;&gt;""),"Kitöltött","Kitöltetlen")</f>
        <v>Kitöltetlen</v>
      </c>
      <c r="F45" s="91" t="str">
        <f>IF(AND(F39&lt;&gt;"",F40&lt;&gt;"",F42&lt;&gt;"",F43&lt;&gt;""),IF(AND(F42/F39&lt;=1,F43/F40&lt;=1),"Jó felosztás","Rossz felosztás"),"Kitöltetlen")</f>
        <v>Kitöltetlen</v>
      </c>
      <c r="G45" s="91" t="str">
        <f>IF(AND(G39&lt;&gt;"",G40&lt;&gt;"",G42&lt;&gt;"",G43&lt;&gt;""),IF(AND(G42/G39&lt;=100,G42/G39&gt;1,G43/G40&lt;=100,G43/G40&gt;1),"Jó felosztás","Rossz felosztás"),"Kitöltetlen")</f>
        <v>Kitöltetlen</v>
      </c>
      <c r="H45" s="91" t="str">
        <f>IF(AND(H39&lt;&gt;"",H40&lt;&gt;"",H42&lt;&gt;"",H43&lt;&gt;""),IF(AND(H42/H39&lt;=1000,H42/H39&gt;100,H4/H40&lt;=1000,H43/H40&gt;100),"Jó felosztás","Rossz felosztás"),"Kitöltetlen")</f>
        <v>Kitöltetlen</v>
      </c>
      <c r="I45" s="91" t="str">
        <f>IF(AND(I39&lt;&gt;"",I40&lt;&gt;"",I42&lt;&gt;"",I43&lt;&gt;""),IF(AND(I42/I39&lt;=2000,I42/I39&gt;1000,I43/I40&lt;=2000,I43/I40&gt;1000),"Jó felosztás","Rossz felosztás"),"Kitöltetlen")</f>
        <v>Kitöltetlen</v>
      </c>
      <c r="J45" s="91" t="str">
        <f>IF(AND(J39&lt;&gt;"",J40&lt;&gt;"",J42&lt;&gt;"",J43&lt;&gt;""),IF(AND(J42/J39&lt;=5000,J42/J39&gt;2000,J43/J40&lt;=5000,J43/J40&gt;2000),"Jó felosztás","Rossz felosztás"),"Kitöltetlen")</f>
        <v>Kitöltetlen</v>
      </c>
      <c r="K45" s="91" t="str">
        <f>IF(AND(K39&lt;&gt;"",K40&lt;&gt;"",K42&lt;&gt;"",K43&lt;&gt;""),IF(AND(K42/K39&lt;=15000,K42/K39&gt;5000,K43/K40&lt;=15000,K43/K40&gt;5000),"Jó felosztás","Rossz felosztás"),"Kitöltetlen")</f>
        <v>Kitöltetlen</v>
      </c>
      <c r="L45" s="91" t="str">
        <f>IF(AND(L39&lt;&gt;"",L40&lt;&gt;"",L42&lt;&gt;"",L43&lt;&gt;""),IF(AND(L42/L39&lt;=31014,L42/L39&gt;15000,L43/L40&lt;=31014,L43/L40&gt;15000),"Jó felosztás","Rossz felosztás"),"Kitöltetlen")</f>
        <v>Kitöltetlen</v>
      </c>
      <c r="M45" s="91" t="str">
        <f>IF(AND(M39&lt;&gt;"",M40&lt;&gt;"",M42&lt;&gt;"",M43&lt;&gt;""),IF(AND(M42/M39&lt;=46521,M42/M39&gt;31014,M43/M40&lt;=46521,M43/M40&gt;31014),"Jó felosztás","Rossz felosztás"),"Kitöltetlen")</f>
        <v>Kitöltetlen</v>
      </c>
      <c r="N45" s="91" t="str">
        <f>IF(AND(N39&lt;&gt;"",N40&lt;&gt;"",N42&lt;&gt;"",N43&lt;&gt;""),IF(AND(N42/N39&gt;46521,N43/N40&gt;46521),"Jó felosztás","Rossz felosztás"),"Kitöltetlen")</f>
        <v>Kitöltetlen</v>
      </c>
    </row>
    <row r="46" spans="1:24" s="88" customFormat="1" x14ac:dyDescent="0.25"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R46" s="83"/>
      <c r="S46" s="83"/>
      <c r="T46" s="83"/>
      <c r="U46" s="83"/>
      <c r="V46" s="83"/>
      <c r="W46" s="83"/>
      <c r="X46" s="83"/>
    </row>
    <row r="47" spans="1:24" s="88" customFormat="1" x14ac:dyDescent="0.25">
      <c r="R47" s="83"/>
      <c r="S47" s="83"/>
      <c r="T47" s="83"/>
      <c r="U47" s="83"/>
      <c r="V47" s="83"/>
      <c r="W47" s="83"/>
      <c r="X47" s="83"/>
    </row>
    <row r="48" spans="1:24" s="88" customFormat="1" x14ac:dyDescent="0.25">
      <c r="R48" s="83"/>
      <c r="S48" s="83"/>
      <c r="T48" s="83"/>
      <c r="U48" s="83"/>
      <c r="V48" s="83"/>
      <c r="W48" s="83"/>
      <c r="X48" s="83"/>
    </row>
    <row r="49" spans="18:24" s="88" customFormat="1" x14ac:dyDescent="0.25">
      <c r="R49" s="83"/>
      <c r="S49" s="83"/>
      <c r="T49" s="83"/>
      <c r="U49" s="83"/>
      <c r="V49" s="83"/>
      <c r="W49" s="83"/>
      <c r="X49" s="83"/>
    </row>
    <row r="50" spans="18:24" s="88" customFormat="1" x14ac:dyDescent="0.25">
      <c r="R50" s="83"/>
      <c r="S50" s="83"/>
      <c r="T50" s="83"/>
      <c r="U50" s="83"/>
      <c r="V50" s="83"/>
      <c r="W50" s="83"/>
      <c r="X50" s="83"/>
    </row>
  </sheetData>
  <sheetProtection algorithmName="SHA-512" hashValue="ILJUn4cKaxNwcLuMvkpuJkQme3Zm4gjv6EICQ6fF2i69OwziqjC7Y3icWc7jnd53rff2yP1GpOWMrzRX8bE7EQ==" saltValue="+BPSOa/tCLyHfbGRtgYWyw==" spinCount="100000" sheet="1" objects="1" scenarios="1"/>
  <mergeCells count="30">
    <mergeCell ref="A37:B37"/>
    <mergeCell ref="B26:H26"/>
    <mergeCell ref="B31:H31"/>
    <mergeCell ref="B32:H32"/>
    <mergeCell ref="B33:H33"/>
    <mergeCell ref="B34:H34"/>
    <mergeCell ref="B29:H29"/>
    <mergeCell ref="B28:H28"/>
    <mergeCell ref="B27:H27"/>
    <mergeCell ref="B35:H35"/>
    <mergeCell ref="A36:N36"/>
    <mergeCell ref="B30:H30"/>
    <mergeCell ref="A23:B23"/>
    <mergeCell ref="B24:C24"/>
    <mergeCell ref="G24:I25"/>
    <mergeCell ref="B25:C25"/>
    <mergeCell ref="H19:H20"/>
    <mergeCell ref="A6:A9"/>
    <mergeCell ref="G6:G8"/>
    <mergeCell ref="A10:A13"/>
    <mergeCell ref="G10:G12"/>
    <mergeCell ref="A14:A21"/>
    <mergeCell ref="G14:G20"/>
    <mergeCell ref="D19:F20"/>
    <mergeCell ref="A5:B5"/>
    <mergeCell ref="B1:H1"/>
    <mergeCell ref="A2:B2"/>
    <mergeCell ref="A3:B3"/>
    <mergeCell ref="C3:F3"/>
    <mergeCell ref="A4:I4"/>
  </mergeCells>
  <conditionalFormatting sqref="G37">
    <cfRule type="expression" dxfId="16" priority="14" stopIfTrue="1">
      <formula>AND(F46&gt;0.5,F46&lt;=100)</formula>
    </cfRule>
  </conditionalFormatting>
  <conditionalFormatting sqref="H37">
    <cfRule type="expression" dxfId="15" priority="13" stopIfTrue="1">
      <formula>AND(G46&gt;100,G46&lt;=1000)</formula>
    </cfRule>
  </conditionalFormatting>
  <conditionalFormatting sqref="I37">
    <cfRule type="expression" dxfId="14" priority="12" stopIfTrue="1">
      <formula>AND(H46&gt;1000,H46&lt;=2000)</formula>
    </cfRule>
  </conditionalFormatting>
  <conditionalFormatting sqref="J37">
    <cfRule type="expression" dxfId="13" priority="11" stopIfTrue="1">
      <formula>AND(I46&gt;2000,I46&lt;=5000)</formula>
    </cfRule>
  </conditionalFormatting>
  <conditionalFormatting sqref="K37">
    <cfRule type="expression" dxfId="12" priority="10" stopIfTrue="1">
      <formula>AND(J46&gt;5000,J46&lt;=15000)</formula>
    </cfRule>
  </conditionalFormatting>
  <conditionalFormatting sqref="L37">
    <cfRule type="expression" dxfId="11" priority="9" stopIfTrue="1">
      <formula>AND(K46&gt;15000,K46&lt;=31113)</formula>
    </cfRule>
  </conditionalFormatting>
  <conditionalFormatting sqref="G9 C6:E8 G13 C14:E18 C19:C20 G21">
    <cfRule type="cellIs" dxfId="10" priority="8" stopIfTrue="1" operator="lessThan">
      <formula>0</formula>
    </cfRule>
  </conditionalFormatting>
  <conditionalFormatting sqref="D24:E25 C6:E12">
    <cfRule type="cellIs" dxfId="9" priority="7" stopIfTrue="1" operator="lessThan">
      <formula>0</formula>
    </cfRule>
  </conditionalFormatting>
  <conditionalFormatting sqref="I18:I20">
    <cfRule type="cellIs" dxfId="8" priority="3" stopIfTrue="1" operator="lessThan">
      <formula>0</formula>
    </cfRule>
  </conditionalFormatting>
  <conditionalFormatting sqref="H6:I8">
    <cfRule type="cellIs" dxfId="7" priority="6" stopIfTrue="1" operator="lessThan">
      <formula>0</formula>
    </cfRule>
  </conditionalFormatting>
  <conditionalFormatting sqref="H10:I12">
    <cfRule type="cellIs" dxfId="6" priority="5" stopIfTrue="1" operator="lessThan">
      <formula>0</formula>
    </cfRule>
  </conditionalFormatting>
  <conditionalFormatting sqref="H14:I17">
    <cfRule type="cellIs" dxfId="5" priority="4" stopIfTrue="1" operator="lessThan">
      <formula>0</formula>
    </cfRule>
  </conditionalFormatting>
  <conditionalFormatting sqref="M37">
    <cfRule type="expression" dxfId="4" priority="19" stopIfTrue="1">
      <formula>AND(K46&gt;5000,K46&lt;=15000)</formula>
    </cfRule>
  </conditionalFormatting>
  <conditionalFormatting sqref="N37:O37">
    <cfRule type="expression" dxfId="3" priority="2" stopIfTrue="1">
      <formula>AND(L46&gt;5000,L46&lt;=15000)</formula>
    </cfRule>
  </conditionalFormatting>
  <conditionalFormatting sqref="E37">
    <cfRule type="expression" dxfId="2" priority="1" stopIfTrue="1">
      <formula>E46&gt;31113</formula>
    </cfRule>
  </conditionalFormatting>
  <conditionalFormatting sqref="C37:D37">
    <cfRule type="expression" dxfId="1" priority="22" stopIfTrue="1">
      <formula>AND(C46&gt;=0,C46&lt;=31113,OR(NOT(ISBLANK(C39)),NOT(ISBLANK(C40))))</formula>
    </cfRule>
  </conditionalFormatting>
  <conditionalFormatting sqref="F37">
    <cfRule type="expression" dxfId="0" priority="26" stopIfTrue="1">
      <formula>AND(E46&gt;=0,E46&lt;=0.5,OR(NOT(ISBLANK(F39)),NOT(ISBLANK(F40))))</formula>
    </cfRule>
  </conditionalFormatting>
  <pageMargins left="0.23622047244094491" right="0.23622047244094491" top="0.35433070866141736" bottom="0.35433070866141736" header="0.11811023622047245" footer="0.11811023622047245"/>
  <pageSetup paperSize="9" scale="48" fitToHeight="2" orientation="landscape" r:id="rId1"/>
  <rowBreaks count="1" manualBreakCount="1">
    <brk id="35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</dc:creator>
  <cp:lastModifiedBy>Deák Anita</cp:lastModifiedBy>
  <cp:lastPrinted>2018-05-22T07:43:25Z</cp:lastPrinted>
  <dcterms:created xsi:type="dcterms:W3CDTF">2015-05-19T11:46:05Z</dcterms:created>
  <dcterms:modified xsi:type="dcterms:W3CDTF">2018-05-31T12:54:20Z</dcterms:modified>
</cp:coreProperties>
</file>